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Планово-экономическое управление\Экономисты\Отдел планирования\2024\Стандарты раскрытия информации\Изменения Ура-Губа_Алакуртти_ГВС_ЗС от 28.03.2024\рабочая для исправлений\"/>
    </mc:Choice>
  </mc:AlternateContent>
  <bookViews>
    <workbookView xWindow="0" yWindow="0" windowWidth="23700" windowHeight="10200" tabRatio="894" firstSheet="4" activeTab="29"/>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Т-гор.вода'!$359:$360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Т-гор.вода'!$361:$362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тарифов'!$100:$204</definedName>
    <definedName name="BLOCK_PT_VOTV">'Перечень тарифов'!$206:$220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REESTR_DS!$B$2:$B$10</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тарифов'!$Z$12:$Z$222</definedName>
    <definedName name="DIFFERENTIATION_TARIFF_VD_ID">'Перечень тарифов'!$AB$12:$AB$222</definedName>
    <definedName name="DIFFERENTIATION_TARIFF_VTAR_ID">'Перечень тарифов'!$AA$12:$AA$222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Предложение!$48:$50</definedName>
    <definedName name="OFFER_TARIFF_A_COLDVSNA_2">Предложение!$112:$114</definedName>
    <definedName name="OFFER_TARIFF_A_COLDVSNA_3">Предложение!$174:$176</definedName>
    <definedName name="OFFER_TARIFF_A_COLDVSNA_4">Предложение!$236:$238</definedName>
    <definedName name="OFFER_TARIFF_A_COLDVSNA_5">Предложение!$298:$300</definedName>
    <definedName name="OFFER_TARIFF_A_HOTVSNA_1">Предложение!$63:$69</definedName>
    <definedName name="OFFER_TARIFF_A_HOTVSNA_2">Предложение!$127:$133</definedName>
    <definedName name="OFFER_TARIFF_A_HOTVSNA_3">Предложение!$189:$195</definedName>
    <definedName name="OFFER_TARIFF_A_HOTVSNA_4">Предложение!$251:$257</definedName>
    <definedName name="OFFER_TARIFF_A_HOTVSNA_5">Предложение!$313:$319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Предложение!$51:$53</definedName>
    <definedName name="OFFER_TARIFF_B_COLDVSNA_2">Предложение!$115:$117</definedName>
    <definedName name="OFFER_TARIFF_B_COLDVSNA_3">Предложение!$177:$179</definedName>
    <definedName name="OFFER_TARIFF_B_COLDVSNA_4">Предложение!$239:$241</definedName>
    <definedName name="OFFER_TARIFF_B_COLDVSNA_5">Предложение!$301:$303</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Предложение!$54:$56</definedName>
    <definedName name="OFFER_TARIFF_C_COLDVSNA_2">Предложение!$118:$120</definedName>
    <definedName name="OFFER_TARIFF_C_COLDVSNA_3">Предложение!$180:$182</definedName>
    <definedName name="OFFER_TARIFF_C_COLDVSNA_4">Предложение!$242:$244</definedName>
    <definedName name="OFFER_TARIFF_C_COLDVSNA_5">Предложение!$304:$306</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Предложение!$33:$35</definedName>
    <definedName name="OFFER_TARIFF_D_2">Предложение!$97:$99</definedName>
    <definedName name="OFFER_TARIFF_D_3">Предложение!$159:$161</definedName>
    <definedName name="OFFER_TARIFF_D_4">Предложение!$221:$223</definedName>
    <definedName name="OFFER_TARIFF_D_5">Предложение!$283:$285</definedName>
    <definedName name="OFFER_TARIFF_D_COLDVSNA_1">Предложение!$57:$59</definedName>
    <definedName name="OFFER_TARIFF_D_COLDVSNA_2">Предложение!$121:$123</definedName>
    <definedName name="OFFER_TARIFF_D_COLDVSNA_3">Предложение!$183:$185</definedName>
    <definedName name="OFFER_TARIFF_D_COLDVSNA_4">Предложение!$245:$247</definedName>
    <definedName name="OFFER_TARIFF_D_COLDVSNA_5">Предложение!$307:$309</definedName>
    <definedName name="OFFER_TARIFF_E_COLDVSNA_1">Предложение!$60:$62</definedName>
    <definedName name="OFFER_TARIFF_E_COLDVSNA_2">Предложение!$124:$126</definedName>
    <definedName name="OFFER_TARIFF_E_COLDVSNA_3">Предложение!$186:$188</definedName>
    <definedName name="OFFER_TARIFF_E_COLDVSNA_4">Предложение!$248:$250</definedName>
    <definedName name="OFFER_TARIFF_E_COLDVSNA_5">Предложение!$310:$312</definedName>
    <definedName name="OFFER_TARIFF_E1_1">Предложение!$36:$38</definedName>
    <definedName name="OFFER_TARIFF_E1_2">Предложение!$100:$102</definedName>
    <definedName name="OFFER_TARIFF_E1_3">Предложение!$162:$164</definedName>
    <definedName name="OFFER_TARIFF_E1_4">Предложение!$224:$226</definedName>
    <definedName name="OFFER_TARIFF_E1_5">Предложение!$286:$288</definedName>
    <definedName name="OFFER_TARIFF_E2_1">Предложение!$39:$41</definedName>
    <definedName name="OFFER_TARIFF_E2_2">Предложение!$103:$105</definedName>
    <definedName name="OFFER_TARIFF_E2_3">Предложение!$165:$167</definedName>
    <definedName name="OFFER_TARIFF_E2_4">Предложение!$227:$229</definedName>
    <definedName name="OFFER_TARIFF_E2_5">Предложение!$289:$291</definedName>
    <definedName name="OFFER_TARIFF_F_1">Предложение!$42:$44</definedName>
    <definedName name="OFFER_TARIFF_F_2">Предложение!$106:$108</definedName>
    <definedName name="OFFER_TARIFF_F_3">Предложение!$168:$170</definedName>
    <definedName name="OFFER_TARIFF_F_4">Предложение!$230:$232</definedName>
    <definedName name="OFFER_TARIFF_F_5">Предложение!$292:$294</definedName>
    <definedName name="OFFER_TARIFF_G_1">Предложение!$45:$47</definedName>
    <definedName name="OFFER_TARIFF_G_2">Предложение!$109:$111</definedName>
    <definedName name="OFFER_TARIFF_G_3">Предложение!$171:$173</definedName>
    <definedName name="OFFER_TARIFF_G_4">Предложение!$233:$235</definedName>
    <definedName name="OFFER_TARIFF_G_5">Предложение!$295:$297</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изменении'!$C$12:$C$14</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территорий'!$C$12:$C$39</definedName>
    <definedName name="pDel_LT_MO">'Список территорий'!$D$11:$D$39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изменении'!$E$14</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территорий'!$G$39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Предложение!$G$114</definedName>
    <definedName name="pIns_PT_VTAR_A_COLDVSNA_OFFER_3">Предложение!$G$176</definedName>
    <definedName name="pIns_PT_VTAR_A_COLDVSNA_OFFER_4">Предложение!$G$238</definedName>
    <definedName name="pIns_PT_VTAR_A_COLDVSNA_OFFER_5">Предложение!$G$300</definedName>
    <definedName name="pIns_PT_VTAR_A_COLDVSNA_OFFER5">Предложение!$G$300</definedName>
    <definedName name="pIns_PT_VTAR_A_HOTVSNA">'ГВС. Т-гор.вода'!$T$358</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Предложение!$G$117</definedName>
    <definedName name="pIns_PT_VTAR_B_COLDVSNA_OFFER_3">Предложение!$G$179</definedName>
    <definedName name="pIns_PT_VTAR_B_COLDVSNA_OFFER_4">Предложение!$G$241</definedName>
    <definedName name="pIns_PT_VTAR_B_COLDVSNA_OFFER_5">Предложение!$G$303</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Предложение!$G$120</definedName>
    <definedName name="pIns_PT_VTAR_C_COLDVSNA_OFFER_3">Предложение!$G$182</definedName>
    <definedName name="pIns_PT_VTAR_C_COLDVSNA_OFFER_4">Предложение!$G$244</definedName>
    <definedName name="pIns_PT_VTAR_C_COLDVSNA_OFFER_5">Предложение!$G$306</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Предложение!$G$123</definedName>
    <definedName name="pIns_PT_VTAR_D_COLDVSNA_OFFER_3">Предложение!$G$185</definedName>
    <definedName name="pIns_PT_VTAR_D_COLDVSNA_OFFER_4">Предложение!$G$247</definedName>
    <definedName name="pIns_PT_VTAR_D_COLDVSNA_OFFER_5">Предложение!$G$309</definedName>
    <definedName name="pIns_PT_VTAR_D_OFFER_1">Предложение!$G$35</definedName>
    <definedName name="pIns_PT_VTAR_D_OFFER_2">Предложение!$G$99</definedName>
    <definedName name="pIns_PT_VTAR_D_OFFER_3">Предложение!$G$161</definedName>
    <definedName name="pIns_PT_VTAR_D_OFFER_4">Предложение!$G$223</definedName>
    <definedName name="pIns_PT_VTAR_D_OFFER_5">Предложение!$G$285</definedName>
    <definedName name="pIns_PT_VTAR_E_COLDVSNA">'ХВС. Т-подкл'!$T$63</definedName>
    <definedName name="pIns_PT_VTAR_E_COLDVSNA_OFFER_1">Предложение!$G$62</definedName>
    <definedName name="pIns_PT_VTAR_E_COLDVSNA_OFFER_2">Предложение!$G$126</definedName>
    <definedName name="pIns_PT_VTAR_E_COLDVSNA_OFFER_3">Предложение!$G$188</definedName>
    <definedName name="pIns_PT_VTAR_E_COLDVSNA_OFFER_4">Предложение!$G$250</definedName>
    <definedName name="pIns_PT_VTAR_E_COLDVSNA_OFFER_5">Предложение!$G$312</definedName>
    <definedName name="pIns_PT_VTAR_E1">'ТС. Т-передача ТЭ'!$T$57</definedName>
    <definedName name="pIns_PT_VTAR_E1_OFFER_1">Предложение!$G$38</definedName>
    <definedName name="pIns_PT_VTAR_E1_OFFER_2">Предложение!$G$102</definedName>
    <definedName name="pIns_PT_VTAR_E1_OFFER_3">Предложение!$G$164</definedName>
    <definedName name="pIns_PT_VTAR_E1_OFFER_4">Предложение!$G$226</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Предложение!$G$105</definedName>
    <definedName name="pIns_PT_VTAR_E2_OFFER_3">Предложение!$G$167</definedName>
    <definedName name="pIns_PT_VTAR_E2_OFFER_4">Предложение!$G$229</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Предложение!$G$108</definedName>
    <definedName name="pIns_PT_VTAR_F_OFFER_3">Предложение!$G$170</definedName>
    <definedName name="pIns_PT_VTAR_F_OFFER_4">Предложение!$G$232</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Предложение!$G$111</definedName>
    <definedName name="pIns_PT_VTAR_G_OFFER_3">Предложение!$G$173</definedName>
    <definedName name="pIns_PT_VTAR_G_OFFER_4">Предложение!$G$235</definedName>
    <definedName name="pIns_PT_VTAR_G_OFFER_5">Предложение!$G$297</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Т-гор.вода'!$EX$37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30">'ГВС. Т-гор.вода'!$52:$59</definedName>
    <definedName name="pt_cs_31">'ГВС. Т-гор.вода'!$62:$69</definedName>
    <definedName name="pt_cs_32">'ГВС. Т-гор.вода'!$72:$79</definedName>
    <definedName name="pt_cs_33">'ГВС. Т-гор.вода'!$82:$89</definedName>
    <definedName name="pt_cs_34">'ГВС. Т-гор.вода'!$92:$99</definedName>
    <definedName name="pt_cs_35">'ГВС. Т-гор.вода'!$102:$109</definedName>
    <definedName name="pt_cs_36">'ГВС. Т-гор.вода'!$112:$119</definedName>
    <definedName name="pt_cs_37">'ГВС. Т-гор.вода'!$122:$129</definedName>
    <definedName name="pt_cs_38">'ГВС. Т-гор.вода'!$130:$137</definedName>
    <definedName name="pt_cs_39">'ГВС. Т-гор.вода'!$138:$145</definedName>
    <definedName name="pt_cs_4">'ТС. Т-гор.вода'!$51:$62</definedName>
    <definedName name="pt_cs_40">'ГВС. Т-гор.вода'!$148:$155</definedName>
    <definedName name="pt_cs_41">'ГВС. Т-гор.вода'!$160:$167</definedName>
    <definedName name="pt_cs_42">'ГВС. Т-гор.вода'!$168:$175</definedName>
    <definedName name="pt_cs_43">'ГВС. Т-гор.вода'!$178:$185</definedName>
    <definedName name="pt_cs_44">'ГВС. Т-гор.вода'!$188:$195</definedName>
    <definedName name="pt_cs_45">'ГВС. Т-гор.вода'!$198:$205</definedName>
    <definedName name="pt_cs_46">'ГВС. Т-гор.вода'!$208:$215</definedName>
    <definedName name="pt_cs_47">'ГВС. Т-гор.вода'!$218:$225</definedName>
    <definedName name="pt_cs_48">'ГВС. Т-гор.вода'!$228:$235</definedName>
    <definedName name="pt_cs_49">'ГВС. Т-гор.вода'!$238:$245</definedName>
    <definedName name="pt_cs_4i">#REF!</definedName>
    <definedName name="pt_cs_4p">#REF!</definedName>
    <definedName name="pt_cs_5">'ТС. Т-передача ТЭ'!$45:$54</definedName>
    <definedName name="pt_cs_50">'ГВС. Т-гор.вода'!$248:$255</definedName>
    <definedName name="pt_cs_51">'ГВС. Т-гор.вода'!$260:$267</definedName>
    <definedName name="pt_cs_52">'ГВС. Т-гор.вода'!$268:$275</definedName>
    <definedName name="pt_cs_53">'ГВС. Т-гор.вода'!$278:$285</definedName>
    <definedName name="pt_cs_54">'ГВС. Т-гор.вода'!$288:$295</definedName>
    <definedName name="pt_cs_55">'ГВС. Т-гор.вода'!$298:$305</definedName>
    <definedName name="pt_cs_56">'ГВС. Т-гор.вода'!$308:$315</definedName>
    <definedName name="pt_cs_57">'ГВС. Т-гор.вода'!$318:$325</definedName>
    <definedName name="pt_cs_58">'ГВС. Т-гор.вода'!$328:$335</definedName>
    <definedName name="pt_cs_59">'ГВС. Т-гор.вода'!$338:$345</definedName>
    <definedName name="pt_cs_6">'ТС. Т-передача ТН'!$45:$54</definedName>
    <definedName name="pt_cs_60">'ГВС. Т-гор.вода'!$348:$355</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тарифов'!$AL$12:$AL$222</definedName>
    <definedName name="PT_DIFFERENTIATION_CS_ID">'Перечень тарифов'!$AF$12:$AF$222</definedName>
    <definedName name="PT_DIFFERENTIATION_IST_TE">'Перечень тарифов'!$AM$12:$AM$222</definedName>
    <definedName name="PT_DIFFERENTIATION_IST_TE_ID">'Перечень тарифов'!$AG$12:$AG$222</definedName>
    <definedName name="PT_DIFFERENTIATION_NTAR">'Перечень тарифов'!$AJ$12:$AJ$222</definedName>
    <definedName name="PT_DIFFERENTIATION_NTAR_ID">'Перечень тарифов'!$AD$12:$AD$222</definedName>
    <definedName name="PT_DIFFERENTIATION_NUM_CS">'Перечень тарифов'!$AP$12:$AP$222</definedName>
    <definedName name="PT_DIFFERENTIATION_NUM_IST_TE">'Перечень тарифов'!$AQ$12:$AQ$222</definedName>
    <definedName name="PT_DIFFERENTIATION_NUM_NTAR">'Перечень тарифов'!$AN$12:$AN$222</definedName>
    <definedName name="PT_DIFFERENTIATION_NUM_TER">'Перечень тарифов'!$AO$12:$AO$222</definedName>
    <definedName name="PT_DIFFERENTIATION_TER">'Перечень тарифов'!$AK$12:$AK$222</definedName>
    <definedName name="PT_DIFFERENTIATION_TER_ID">'Перечень тарифов'!$AE$12:$AE$222</definedName>
    <definedName name="PT_DIFFERENTIATION_VDET">'Перечень тарифов'!$AI$12:$AI$222</definedName>
    <definedName name="PT_DIFFERENTIATION_VTAR">'Перечень тарифов'!$AH$12:$AH$222</definedName>
    <definedName name="PT_DIFFERENTIATION_VTAR_ID">'Перечень тарифов'!$AC$12:$AC$222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Т-гор.вода'!$42:$157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26">'ГВС. Т-гор.вода'!$158:$257</definedName>
    <definedName name="pt_ntar_27">'ГВС. Т-гор.вода'!$258:$357</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30">'ГВС. Т-гор.вода'!$61:$70</definedName>
    <definedName name="pt_ter_31">'ГВС. Т-гор.вода'!$71:$80</definedName>
    <definedName name="pt_ter_32">'ГВС. Т-гор.вода'!$81:$90</definedName>
    <definedName name="pt_ter_33">'ГВС. Т-гор.вода'!$91:$100</definedName>
    <definedName name="pt_ter_34">'ГВС. Т-гор.вода'!$101:$110</definedName>
    <definedName name="pt_ter_35">'ГВС. Т-гор.вода'!$111:$120</definedName>
    <definedName name="pt_ter_36">'ГВС. Т-гор.вода'!$121:$146</definedName>
    <definedName name="pt_ter_37">'ГВС. Т-гор.вода'!$147:$156</definedName>
    <definedName name="pt_ter_38">'ГВС. Т-гор.вода'!$159:$176</definedName>
    <definedName name="pt_ter_39">'ГВС. Т-гор.вода'!$177:$186</definedName>
    <definedName name="pt_ter_4">'ТС. Т-гор.вода'!$50:$63</definedName>
    <definedName name="pt_ter_40">'ГВС. Т-гор.вода'!$187:$196</definedName>
    <definedName name="pt_ter_41">'ГВС. Т-гор.вода'!$197:$206</definedName>
    <definedName name="pt_ter_42">'ГВС. Т-гор.вода'!$207:$216</definedName>
    <definedName name="pt_ter_43">'ГВС. Т-гор.вода'!$217:$226</definedName>
    <definedName name="pt_ter_44">'ГВС. Т-гор.вода'!$227:$236</definedName>
    <definedName name="pt_ter_45">'ГВС. Т-гор.вода'!$237:$246</definedName>
    <definedName name="pt_ter_46">'ГВС. Т-гор.вода'!$247:$256</definedName>
    <definedName name="pt_ter_47">'ГВС. Т-гор.вода'!$259:$276</definedName>
    <definedName name="pt_ter_48">'ГВС. Т-гор.вода'!$277:$286</definedName>
    <definedName name="pt_ter_49">'ГВС. Т-гор.вода'!$287:$296</definedName>
    <definedName name="pt_ter_4i">#REF!</definedName>
    <definedName name="pt_ter_4p">#REF!</definedName>
    <definedName name="pt_ter_5">'ТС. Т-передача ТЭ'!$44:$55</definedName>
    <definedName name="pt_ter_50">'ГВС. Т-гор.вода'!$297:$306</definedName>
    <definedName name="pt_ter_51">'ГВС. Т-гор.вода'!$307:$316</definedName>
    <definedName name="pt_ter_52">'ГВС. Т-гор.вода'!$317:$326</definedName>
    <definedName name="pt_ter_53">'ГВС. Т-гор.вода'!$327:$336</definedName>
    <definedName name="pt_ter_54">'ГВС. Т-гор.вода'!$337:$346</definedName>
    <definedName name="pt_ter_55">'ГВС. Т-гор.вода'!$347:$356</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01" i="61"/>
  <c r="K101" i="61"/>
  <c r="N101" i="61" s="1"/>
  <c r="J101" i="61"/>
  <c r="I101" i="61"/>
  <c r="L101" i="61" s="1"/>
  <c r="M100" i="61"/>
  <c r="K100" i="61"/>
  <c r="N100" i="61" s="1"/>
  <c r="J100" i="61"/>
  <c r="I100" i="61"/>
  <c r="L100" i="61" s="1"/>
  <c r="M99" i="61"/>
  <c r="K99" i="61"/>
  <c r="N99" i="61" s="1"/>
  <c r="J99" i="6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29" i="61"/>
  <c r="I29" i="61"/>
  <c r="L29" i="61" s="1"/>
  <c r="M28" i="61"/>
  <c r="K28" i="61"/>
  <c r="N28" i="61" s="1"/>
  <c r="J28" i="61"/>
  <c r="I28" i="61"/>
  <c r="L28" i="61" s="1"/>
  <c r="M27" i="61"/>
  <c r="K27" i="61"/>
  <c r="N27" i="61" s="1"/>
  <c r="J27" i="61"/>
  <c r="I27" i="61"/>
  <c r="L27" i="61" s="1"/>
  <c r="M26" i="61"/>
  <c r="K26" i="61"/>
  <c r="N26" i="61" s="1"/>
  <c r="J26" i="61"/>
  <c r="I26" i="61"/>
  <c r="L26" i="61" s="1"/>
  <c r="M25" i="61"/>
  <c r="K25" i="61"/>
  <c r="N25" i="61" s="1"/>
  <c r="J25" i="61"/>
  <c r="I25" i="61"/>
  <c r="L25" i="61" s="1"/>
  <c r="M24" i="61"/>
  <c r="K24" i="61"/>
  <c r="N24" i="61" s="1"/>
  <c r="J24" i="61"/>
  <c r="I24" i="61"/>
  <c r="L24" i="61" s="1"/>
  <c r="M23" i="61"/>
  <c r="K23" i="61"/>
  <c r="N23" i="61" s="1"/>
  <c r="J23" i="61"/>
  <c r="I23" i="61"/>
  <c r="L23" i="61" s="1"/>
  <c r="L22" i="61"/>
  <c r="K22" i="61"/>
  <c r="N22" i="61" s="1"/>
  <c r="J22" i="61"/>
  <c r="M22" i="61" s="1"/>
  <c r="I22" i="61"/>
  <c r="N21" i="61"/>
  <c r="M21" i="61"/>
  <c r="K21" i="61"/>
  <c r="J21" i="61"/>
  <c r="I21" i="61"/>
  <c r="L21" i="61" s="1"/>
  <c r="L20" i="61"/>
  <c r="K20" i="61"/>
  <c r="N20" i="61" s="1"/>
  <c r="J20" i="61"/>
  <c r="M20" i="61" s="1"/>
  <c r="I20" i="61"/>
  <c r="N19" i="61"/>
  <c r="M19" i="61"/>
  <c r="K19" i="61"/>
  <c r="J19" i="61"/>
  <c r="I19" i="61"/>
  <c r="L19" i="61" s="1"/>
  <c r="L18" i="61"/>
  <c r="K18" i="61"/>
  <c r="N18" i="61" s="1"/>
  <c r="J18" i="61"/>
  <c r="M18" i="61" s="1"/>
  <c r="I18" i="61"/>
  <c r="AA16" i="61"/>
  <c r="N16" i="61"/>
  <c r="AA15" i="61"/>
  <c r="N15" i="61"/>
  <c r="U14" i="61"/>
  <c r="N14" i="61"/>
  <c r="M14" i="61"/>
  <c r="AA13" i="61"/>
  <c r="N13" i="61" s="1"/>
  <c r="I17" i="43" s="1"/>
  <c r="M13" i="61"/>
  <c r="AA12" i="61"/>
  <c r="N12" i="61"/>
  <c r="M12" i="61"/>
  <c r="M11" i="61"/>
  <c r="E15" i="43" s="1"/>
  <c r="N3" i="61"/>
  <c r="C34" i="60"/>
  <c r="E32" i="60"/>
  <c r="C32" i="60"/>
  <c r="F5" i="40" s="1"/>
  <c r="E30" i="60"/>
  <c r="C30" i="60"/>
  <c r="E29" i="60"/>
  <c r="C29" i="60" s="1"/>
  <c r="D5" i="47" s="1"/>
  <c r="C8" i="60"/>
  <c r="C7" i="60"/>
  <c r="E6" i="60"/>
  <c r="C6" i="60" s="1"/>
  <c r="E5" i="60"/>
  <c r="C5" i="60"/>
  <c r="E3" i="60"/>
  <c r="C3" i="60"/>
  <c r="C2" i="60"/>
  <c r="V202" i="59"/>
  <c r="N187" i="59"/>
  <c r="N182" i="59"/>
  <c r="N176" i="59"/>
  <c r="N165" i="59"/>
  <c r="N160" i="59"/>
  <c r="N154" i="59"/>
  <c r="R139" i="59"/>
  <c r="Q139" i="59"/>
  <c r="Q130" i="59"/>
  <c r="H129" i="59"/>
  <c r="H128" i="59"/>
  <c r="H127" i="59"/>
  <c r="Q121" i="59"/>
  <c r="Q118" i="59"/>
  <c r="H117" i="59"/>
  <c r="H116" i="59"/>
  <c r="H115" i="59"/>
  <c r="F109" i="59"/>
  <c r="AD103" i="59"/>
  <c r="AD97" i="59"/>
  <c r="AD92" i="59"/>
  <c r="AD84" i="59"/>
  <c r="F81" i="59"/>
  <c r="P72" i="59"/>
  <c r="D50" i="59"/>
  <c r="D47" i="59"/>
  <c r="D49" i="59" s="1"/>
  <c r="I29" i="59"/>
  <c r="I23" i="59"/>
  <c r="O19" i="59"/>
  <c r="M19" i="59" a="1"/>
  <c r="M19" i="59"/>
  <c r="F19" i="59"/>
  <c r="O14" i="59"/>
  <c r="M14" i="59" a="1"/>
  <c r="M14" i="59"/>
  <c r="F14" i="59"/>
  <c r="E14" i="59"/>
  <c r="E13" i="59"/>
  <c r="G13" i="59" s="1"/>
  <c r="F13" i="54"/>
  <c r="E7" i="54"/>
  <c r="F2" i="54"/>
  <c r="P10" i="53" a="1"/>
  <c r="P10" i="53" s="1"/>
  <c r="L10" i="53"/>
  <c r="R10" i="53" s="1"/>
  <c r="K8" i="53"/>
  <c r="E5" i="53"/>
  <c r="R2" i="53"/>
  <c r="P2" i="53" a="1"/>
  <c r="P2" i="53" s="1"/>
  <c r="P10" i="52" a="1"/>
  <c r="P10" i="52"/>
  <c r="K8" i="52"/>
  <c r="J8" i="52"/>
  <c r="L10" i="52" s="1"/>
  <c r="R10" i="52" s="1"/>
  <c r="G8" i="52"/>
  <c r="F8" i="52"/>
  <c r="E5" i="52"/>
  <c r="R2" i="52"/>
  <c r="P2" i="52" a="1"/>
  <c r="P2" i="52" s="1"/>
  <c r="F2" i="52"/>
  <c r="N9" i="51" a="1"/>
  <c r="N9" i="51"/>
  <c r="J9" i="51"/>
  <c r="P9" i="51" s="1"/>
  <c r="E5" i="51"/>
  <c r="P2" i="51"/>
  <c r="N2" i="51" a="1"/>
  <c r="N2" i="51"/>
  <c r="G24" i="50"/>
  <c r="E24" i="50"/>
  <c r="G12" i="50"/>
  <c r="F12" i="50"/>
  <c r="F2" i="53" s="1"/>
  <c r="E12" i="50"/>
  <c r="D6" i="50"/>
  <c r="D5" i="50"/>
  <c r="BA115" i="49"/>
  <c r="BA114" i="49"/>
  <c r="BA113" i="49"/>
  <c r="BA102" i="49"/>
  <c r="BA100" i="49"/>
  <c r="BA99" i="49"/>
  <c r="I53" i="49"/>
  <c r="H53" i="49"/>
  <c r="G53" i="49"/>
  <c r="J52" i="49"/>
  <c r="I52" i="49"/>
  <c r="H52" i="49"/>
  <c r="F29" i="49" s="1"/>
  <c r="G52" i="49"/>
  <c r="E29" i="49" s="1"/>
  <c r="J51" i="49"/>
  <c r="I51" i="49"/>
  <c r="H51" i="49"/>
  <c r="G51" i="49"/>
  <c r="J50" i="49"/>
  <c r="I50" i="49"/>
  <c r="H50" i="49"/>
  <c r="G50" i="49"/>
  <c r="J49" i="49"/>
  <c r="I49" i="49"/>
  <c r="H49" i="49"/>
  <c r="G49" i="49"/>
  <c r="I48" i="49"/>
  <c r="H48" i="49"/>
  <c r="G48" i="49"/>
  <c r="J47" i="49"/>
  <c r="I47" i="49"/>
  <c r="H47" i="49"/>
  <c r="G47" i="49"/>
  <c r="J46" i="49"/>
  <c r="I46" i="49"/>
  <c r="K45" i="49"/>
  <c r="J45" i="49"/>
  <c r="I45" i="49"/>
  <c r="G36" i="49"/>
  <c r="E31" i="60" s="1"/>
  <c r="C31" i="60" s="1"/>
  <c r="F36" i="49"/>
  <c r="U148" i="61" s="1"/>
  <c r="M148" i="61" s="1"/>
  <c r="F32" i="49"/>
  <c r="E32" i="49"/>
  <c r="L5" i="49"/>
  <c r="L6" i="49" s="1"/>
  <c r="L4" i="49"/>
  <c r="L3" i="49"/>
  <c r="I14" i="48"/>
  <c r="G14" i="48"/>
  <c r="G11" i="48"/>
  <c r="G10" i="48"/>
  <c r="G9" i="48"/>
  <c r="D6" i="48"/>
  <c r="E13" i="47"/>
  <c r="H12" i="47"/>
  <c r="E12" i="47"/>
  <c r="E11" i="47"/>
  <c r="E10" i="47"/>
  <c r="D6" i="47"/>
  <c r="M274" i="46"/>
  <c r="F273" i="46"/>
  <c r="M212" i="46"/>
  <c r="F211" i="46"/>
  <c r="M150" i="46"/>
  <c r="F149" i="46"/>
  <c r="M88" i="46"/>
  <c r="F85"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I21" i="43"/>
  <c r="F21" i="43"/>
  <c r="I19" i="43"/>
  <c r="H19" i="43"/>
  <c r="G19" i="43"/>
  <c r="F19" i="43"/>
  <c r="I18" i="43"/>
  <c r="E18" i="43"/>
  <c r="E17" i="43"/>
  <c r="I16" i="43"/>
  <c r="E16" i="43"/>
  <c r="H14" i="43"/>
  <c r="G14" i="43"/>
  <c r="G11" i="43"/>
  <c r="G10" i="43"/>
  <c r="G9" i="43"/>
  <c r="D6" i="43"/>
  <c r="D5" i="43"/>
  <c r="F2" i="43"/>
  <c r="F6" i="42"/>
  <c r="F5" i="42"/>
  <c r="H57" i="41"/>
  <c r="H56" i="41"/>
  <c r="H55" i="41"/>
  <c r="I54" i="41"/>
  <c r="H54" i="41" s="1"/>
  <c r="H53" i="41"/>
  <c r="H52" i="41"/>
  <c r="H51" i="41"/>
  <c r="H50" i="41"/>
  <c r="I49" i="41"/>
  <c r="I48" i="41" s="1"/>
  <c r="H48" i="41" s="1"/>
  <c r="H47" i="41"/>
  <c r="H46" i="41"/>
  <c r="H45" i="41"/>
  <c r="I44" i="41"/>
  <c r="H44" i="41"/>
  <c r="H43" i="41"/>
  <c r="H42" i="41"/>
  <c r="H41" i="41"/>
  <c r="H40" i="41"/>
  <c r="I39" i="41"/>
  <c r="I36" i="41"/>
  <c r="H36" i="41" s="1"/>
  <c r="H35" i="41"/>
  <c r="H34" i="41"/>
  <c r="H33" i="41"/>
  <c r="I32" i="41"/>
  <c r="H32" i="41" s="1"/>
  <c r="H31" i="41"/>
  <c r="H30" i="41"/>
  <c r="H29" i="41"/>
  <c r="I28" i="41"/>
  <c r="H28" i="41"/>
  <c r="H27" i="41"/>
  <c r="H26" i="41"/>
  <c r="H25" i="41"/>
  <c r="H24" i="41"/>
  <c r="H23" i="41"/>
  <c r="H22" i="41"/>
  <c r="H21" i="41"/>
  <c r="H20" i="41"/>
  <c r="H19" i="41"/>
  <c r="H18" i="41"/>
  <c r="H17" i="41"/>
  <c r="H16" i="41"/>
  <c r="I15" i="41"/>
  <c r="H15" i="41" s="1"/>
  <c r="H11" i="41"/>
  <c r="F6" i="41"/>
  <c r="F5" i="41"/>
  <c r="F6" i="40"/>
  <c r="H15" i="39"/>
  <c r="F6" i="39"/>
  <c r="F5" i="39"/>
  <c r="G28" i="38"/>
  <c r="G27" i="38"/>
  <c r="G26" i="38"/>
  <c r="D23" i="38"/>
  <c r="D22" i="38"/>
  <c r="D14" i="38"/>
  <c r="D13" i="38"/>
  <c r="D11" i="38"/>
  <c r="D10" i="38"/>
  <c r="D9" i="38"/>
  <c r="D7" i="38"/>
  <c r="D6" i="38"/>
  <c r="D4" i="38"/>
  <c r="D3" i="38"/>
  <c r="J12" i="37"/>
  <c r="I12" i="37"/>
  <c r="H12" i="37"/>
  <c r="G12" i="37"/>
  <c r="G9" i="37"/>
  <c r="G8" i="37"/>
  <c r="G7" i="37"/>
  <c r="D4" i="37"/>
  <c r="D3" i="37"/>
  <c r="E28" i="36"/>
  <c r="I27" i="36"/>
  <c r="I16" i="36" s="1"/>
  <c r="H27" i="36"/>
  <c r="H16" i="36"/>
  <c r="H12" i="36"/>
  <c r="H11" i="36"/>
  <c r="H10" i="36"/>
  <c r="E7" i="36"/>
  <c r="E33" i="35"/>
  <c r="I32" i="35"/>
  <c r="I16" i="35" s="1"/>
  <c r="H32" i="35"/>
  <c r="H16" i="35" s="1"/>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L68" i="33"/>
  <c r="J68" i="33"/>
  <c r="F68" i="33"/>
  <c r="E68" i="33"/>
  <c r="K68" i="33" s="1"/>
  <c r="J67" i="33"/>
  <c r="F67" i="33"/>
  <c r="E67" i="33"/>
  <c r="K67" i="33" s="1"/>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S6" i="31" s="1"/>
  <c r="AV5" i="31"/>
  <c r="I5" i="31"/>
  <c r="S5" i="31" s="1"/>
  <c r="AV4" i="31"/>
  <c r="AG4" i="31"/>
  <c r="S4" i="31"/>
  <c r="AV3" i="31"/>
  <c r="AG3" i="31"/>
  <c r="S3" i="31"/>
  <c r="AV2" i="31"/>
  <c r="AS2" i="31"/>
  <c r="AG2" i="31"/>
  <c r="S2" i="31"/>
  <c r="FB358" i="30"/>
  <c r="FB357" i="30"/>
  <c r="FB356" i="30"/>
  <c r="FB355" i="30"/>
  <c r="FB354" i="30"/>
  <c r="FB353" i="30"/>
  <c r="FB352" i="30"/>
  <c r="FB351" i="30"/>
  <c r="EY351" i="30"/>
  <c r="FB350" i="30"/>
  <c r="FB349" i="30"/>
  <c r="FB348" i="30"/>
  <c r="FB347" i="30"/>
  <c r="FB346" i="30"/>
  <c r="FB345" i="30"/>
  <c r="FB344" i="30"/>
  <c r="FB343" i="30"/>
  <c r="FB342" i="30"/>
  <c r="FB341" i="30"/>
  <c r="EY341" i="30"/>
  <c r="FB340" i="30"/>
  <c r="FB339" i="30"/>
  <c r="FB338" i="30"/>
  <c r="FB337" i="30"/>
  <c r="FB336" i="30"/>
  <c r="FB335" i="30"/>
  <c r="FB334" i="30"/>
  <c r="FB333" i="30"/>
  <c r="FB332" i="30"/>
  <c r="FB331" i="30"/>
  <c r="EY331" i="30"/>
  <c r="FB330" i="30"/>
  <c r="FB329" i="30"/>
  <c r="FB328" i="30"/>
  <c r="FB327" i="30"/>
  <c r="FB326" i="30"/>
  <c r="FB325" i="30"/>
  <c r="FB324" i="30"/>
  <c r="FB323" i="30"/>
  <c r="FB322" i="30"/>
  <c r="FB321" i="30"/>
  <c r="EY321" i="30"/>
  <c r="FB320" i="30"/>
  <c r="FB319" i="30"/>
  <c r="FB318" i="30"/>
  <c r="FB317" i="30"/>
  <c r="FB316" i="30"/>
  <c r="FB315" i="30"/>
  <c r="FB314" i="30"/>
  <c r="FB313" i="30"/>
  <c r="FB312" i="30"/>
  <c r="FB311" i="30"/>
  <c r="EY311" i="30"/>
  <c r="FB310" i="30"/>
  <c r="FB309" i="30"/>
  <c r="FB308" i="30"/>
  <c r="FB307" i="30"/>
  <c r="FB306" i="30"/>
  <c r="FB305" i="30"/>
  <c r="FB304" i="30"/>
  <c r="FB303" i="30"/>
  <c r="FB302" i="30"/>
  <c r="FB301" i="30"/>
  <c r="EY301" i="30"/>
  <c r="FB300" i="30"/>
  <c r="FB299" i="30"/>
  <c r="FB298" i="30"/>
  <c r="FB297" i="30"/>
  <c r="FB296" i="30"/>
  <c r="FB295" i="30"/>
  <c r="FB294" i="30"/>
  <c r="FB293" i="30"/>
  <c r="FB292" i="30"/>
  <c r="FB291" i="30"/>
  <c r="EY291" i="30"/>
  <c r="FB290" i="30"/>
  <c r="FB289" i="30"/>
  <c r="FB288" i="30"/>
  <c r="FB287" i="30"/>
  <c r="FB286" i="30"/>
  <c r="FB285" i="30"/>
  <c r="FB284" i="30"/>
  <c r="FB283" i="30"/>
  <c r="FB282" i="30"/>
  <c r="FB281" i="30"/>
  <c r="EY281" i="30"/>
  <c r="FB280" i="30"/>
  <c r="FB279" i="30"/>
  <c r="FB278" i="30"/>
  <c r="FB277" i="30"/>
  <c r="FB276" i="30"/>
  <c r="FB275" i="30"/>
  <c r="FB274" i="30"/>
  <c r="FB273" i="30"/>
  <c r="FB272" i="30"/>
  <c r="FB271" i="30"/>
  <c r="EY271" i="30"/>
  <c r="FB270" i="30"/>
  <c r="FB269" i="30"/>
  <c r="FB268" i="30"/>
  <c r="FB267" i="30"/>
  <c r="FB266" i="30"/>
  <c r="FB265" i="30"/>
  <c r="FB264" i="30"/>
  <c r="FB263" i="30"/>
  <c r="EY263" i="30"/>
  <c r="FB262" i="30"/>
  <c r="FB261" i="30"/>
  <c r="FB260" i="30"/>
  <c r="FB259" i="30"/>
  <c r="FB258" i="30"/>
  <c r="EY258" i="30"/>
  <c r="FB257" i="30"/>
  <c r="FB256" i="30"/>
  <c r="FB255" i="30"/>
  <c r="FB254" i="30"/>
  <c r="FB253" i="30"/>
  <c r="FB252" i="30"/>
  <c r="FB251" i="30"/>
  <c r="EY251" i="30"/>
  <c r="FB250" i="30"/>
  <c r="FB249" i="30"/>
  <c r="FB248" i="30"/>
  <c r="FB247" i="30"/>
  <c r="FB246" i="30"/>
  <c r="FB245" i="30"/>
  <c r="FB244" i="30"/>
  <c r="FB243" i="30"/>
  <c r="FB242" i="30"/>
  <c r="FB241" i="30"/>
  <c r="EY241" i="30"/>
  <c r="FB240" i="30"/>
  <c r="FB239" i="30"/>
  <c r="FB238" i="30"/>
  <c r="FB237" i="30"/>
  <c r="FB236" i="30"/>
  <c r="FB235" i="30"/>
  <c r="FB234" i="30"/>
  <c r="FB233" i="30"/>
  <c r="FB232" i="30"/>
  <c r="FB231" i="30"/>
  <c r="EY231" i="30"/>
  <c r="FB230" i="30"/>
  <c r="FB229" i="30"/>
  <c r="FB228" i="30"/>
  <c r="FB227" i="30"/>
  <c r="FB226" i="30"/>
  <c r="FB225" i="30"/>
  <c r="FB224" i="30"/>
  <c r="FB223" i="30"/>
  <c r="FB222" i="30"/>
  <c r="FB221" i="30"/>
  <c r="EY221" i="30"/>
  <c r="FB220" i="30"/>
  <c r="FB219" i="30"/>
  <c r="FB218" i="30"/>
  <c r="FB217" i="30"/>
  <c r="FB216" i="30"/>
  <c r="FB215" i="30"/>
  <c r="FB214" i="30"/>
  <c r="FB213" i="30"/>
  <c r="FB212" i="30"/>
  <c r="FB211" i="30"/>
  <c r="EY211" i="30"/>
  <c r="FB210" i="30"/>
  <c r="FB209" i="30"/>
  <c r="FB208" i="30"/>
  <c r="FB207" i="30"/>
  <c r="FB206" i="30"/>
  <c r="FB205" i="30"/>
  <c r="FB204" i="30"/>
  <c r="FB203" i="30"/>
  <c r="FB202" i="30"/>
  <c r="FB201" i="30"/>
  <c r="EY201" i="30"/>
  <c r="FB200" i="30"/>
  <c r="FB199" i="30"/>
  <c r="FB198" i="30"/>
  <c r="FB197" i="30"/>
  <c r="FB196" i="30"/>
  <c r="FB195" i="30"/>
  <c r="FB194" i="30"/>
  <c r="FB193" i="30"/>
  <c r="FB192" i="30"/>
  <c r="FB191" i="30"/>
  <c r="EY191" i="30"/>
  <c r="FB190" i="30"/>
  <c r="FB189" i="30"/>
  <c r="FB188" i="30"/>
  <c r="FB187" i="30"/>
  <c r="FB186" i="30"/>
  <c r="FB185" i="30"/>
  <c r="FB184" i="30"/>
  <c r="FB183" i="30"/>
  <c r="FB182" i="30"/>
  <c r="FB181" i="30"/>
  <c r="EY181" i="30"/>
  <c r="FB180" i="30"/>
  <c r="FB179" i="30"/>
  <c r="FB178" i="30"/>
  <c r="FB177" i="30"/>
  <c r="FB176" i="30"/>
  <c r="FB175" i="30"/>
  <c r="FB174" i="30"/>
  <c r="FB173" i="30"/>
  <c r="FB172" i="30"/>
  <c r="FB171" i="30"/>
  <c r="EY171" i="30"/>
  <c r="FB170" i="30"/>
  <c r="FB169" i="30"/>
  <c r="FB168" i="30"/>
  <c r="FB167" i="30"/>
  <c r="FB166" i="30"/>
  <c r="FB165" i="30"/>
  <c r="FB164" i="30"/>
  <c r="FB163" i="30"/>
  <c r="EY163" i="30"/>
  <c r="FB162" i="30"/>
  <c r="FB161" i="30"/>
  <c r="FB160" i="30"/>
  <c r="FB159" i="30"/>
  <c r="FB158" i="30"/>
  <c r="EY158" i="30"/>
  <c r="FB157" i="30"/>
  <c r="FB156" i="30"/>
  <c r="FB155" i="30"/>
  <c r="FB154" i="30"/>
  <c r="FB153" i="30"/>
  <c r="FB152" i="30"/>
  <c r="FB151" i="30"/>
  <c r="EY151" i="30"/>
  <c r="FB150" i="30"/>
  <c r="FB149" i="30"/>
  <c r="FB148" i="30"/>
  <c r="FB147" i="30"/>
  <c r="FB146" i="30"/>
  <c r="FB145" i="30"/>
  <c r="FB144" i="30"/>
  <c r="FB143" i="30"/>
  <c r="FB142" i="30"/>
  <c r="FB141" i="30"/>
  <c r="EY141" i="30"/>
  <c r="FB140" i="30"/>
  <c r="FB139" i="30"/>
  <c r="FB138" i="30"/>
  <c r="FB137" i="30"/>
  <c r="FB136" i="30"/>
  <c r="FB135" i="30"/>
  <c r="FB134" i="30"/>
  <c r="FB133" i="30"/>
  <c r="EY133" i="30"/>
  <c r="FB132" i="30"/>
  <c r="FB131" i="30"/>
  <c r="FB130" i="30"/>
  <c r="FB129" i="30"/>
  <c r="FB128" i="30"/>
  <c r="FB127" i="30"/>
  <c r="FB126" i="30"/>
  <c r="FB125" i="30"/>
  <c r="EY125" i="30"/>
  <c r="FB124" i="30"/>
  <c r="FB123" i="30"/>
  <c r="FB122" i="30"/>
  <c r="FB121" i="30"/>
  <c r="FB120" i="30"/>
  <c r="FB119" i="30"/>
  <c r="FB118" i="30"/>
  <c r="FB117" i="30"/>
  <c r="FB116" i="30"/>
  <c r="FB115" i="30"/>
  <c r="EY115" i="30"/>
  <c r="FB114" i="30"/>
  <c r="FB113" i="30"/>
  <c r="FB112" i="30"/>
  <c r="FB111" i="30"/>
  <c r="FB110" i="30"/>
  <c r="FB109" i="30"/>
  <c r="FB108" i="30"/>
  <c r="FB107" i="30"/>
  <c r="FB106" i="30"/>
  <c r="FB105" i="30"/>
  <c r="EY105" i="30"/>
  <c r="FB104" i="30"/>
  <c r="FB103" i="30"/>
  <c r="FB102" i="30"/>
  <c r="FB101" i="30"/>
  <c r="FB100" i="30"/>
  <c r="FB99" i="30"/>
  <c r="FB98" i="30"/>
  <c r="FB97" i="30"/>
  <c r="FB96" i="30"/>
  <c r="FB95" i="30"/>
  <c r="EY95" i="30"/>
  <c r="FB94" i="30"/>
  <c r="FB93" i="30"/>
  <c r="FB92" i="30"/>
  <c r="FB91" i="30"/>
  <c r="FB90" i="30"/>
  <c r="FB89" i="30"/>
  <c r="FB88" i="30"/>
  <c r="FB87" i="30"/>
  <c r="FB86" i="30"/>
  <c r="FB85" i="30"/>
  <c r="EY85" i="30"/>
  <c r="FB84" i="30"/>
  <c r="FB83" i="30"/>
  <c r="FB82" i="30"/>
  <c r="FB81" i="30"/>
  <c r="FB80" i="30"/>
  <c r="FB79" i="30"/>
  <c r="FB78" i="30"/>
  <c r="FB77" i="30"/>
  <c r="FB76" i="30"/>
  <c r="FB75" i="30"/>
  <c r="EY75" i="30"/>
  <c r="FB74" i="30"/>
  <c r="FB73" i="30"/>
  <c r="FB72" i="30"/>
  <c r="FB71" i="30"/>
  <c r="FB70" i="30"/>
  <c r="FB69" i="30"/>
  <c r="FB68" i="30"/>
  <c r="FB67" i="30"/>
  <c r="FB66" i="30"/>
  <c r="FB65" i="30"/>
  <c r="EY65" i="30"/>
  <c r="FB64" i="30"/>
  <c r="FB63" i="30"/>
  <c r="FB62" i="30"/>
  <c r="FB61" i="30"/>
  <c r="FB60" i="30"/>
  <c r="FB59" i="30"/>
  <c r="FB58" i="30"/>
  <c r="FB57" i="30"/>
  <c r="FB56" i="30"/>
  <c r="FB55" i="30"/>
  <c r="EY55" i="30"/>
  <c r="FB54" i="30"/>
  <c r="FB53" i="30"/>
  <c r="FB52" i="30"/>
  <c r="FB51" i="30"/>
  <c r="FB50" i="30"/>
  <c r="FB49" i="30"/>
  <c r="FB48" i="30"/>
  <c r="FB47" i="30"/>
  <c r="EY47" i="30"/>
  <c r="FB46" i="30"/>
  <c r="FB45" i="30"/>
  <c r="FB44" i="30"/>
  <c r="FB43" i="30"/>
  <c r="FB42" i="30"/>
  <c r="EY42" i="30"/>
  <c r="ET41" i="30"/>
  <c r="EU41" i="30" s="1"/>
  <c r="EW41" i="30" s="1"/>
  <c r="EX41" i="30" s="1"/>
  <c r="EY41" i="30" s="1"/>
  <c r="EI41" i="30"/>
  <c r="EJ41" i="30" s="1"/>
  <c r="EL41" i="30" s="1"/>
  <c r="EM41" i="30" s="1"/>
  <c r="DX41" i="30"/>
  <c r="DY41" i="30" s="1"/>
  <c r="EA41" i="30" s="1"/>
  <c r="EB41" i="30" s="1"/>
  <c r="DM41" i="30"/>
  <c r="DN41" i="30" s="1"/>
  <c r="DP41" i="30" s="1"/>
  <c r="DQ41" i="30" s="1"/>
  <c r="DB41" i="30"/>
  <c r="DC41" i="30" s="1"/>
  <c r="DE41" i="30" s="1"/>
  <c r="DF41" i="30" s="1"/>
  <c r="CQ41" i="30"/>
  <c r="CR41" i="30" s="1"/>
  <c r="CT41" i="30" s="1"/>
  <c r="CU41" i="30" s="1"/>
  <c r="CF41" i="30"/>
  <c r="CG41" i="30" s="1"/>
  <c r="CI41" i="30" s="1"/>
  <c r="CJ41" i="30" s="1"/>
  <c r="BU41" i="30"/>
  <c r="BV41" i="30" s="1"/>
  <c r="BX41" i="30" s="1"/>
  <c r="BY41" i="30" s="1"/>
  <c r="BJ41" i="30"/>
  <c r="BK41" i="30" s="1"/>
  <c r="BM41" i="30" s="1"/>
  <c r="BN41" i="30" s="1"/>
  <c r="AY41" i="30"/>
  <c r="AZ41" i="30" s="1"/>
  <c r="BB41" i="30" s="1"/>
  <c r="BC41" i="30" s="1"/>
  <c r="AM41" i="30"/>
  <c r="AN41" i="30" s="1"/>
  <c r="AO41" i="30" s="1"/>
  <c r="AQ41" i="30" s="1"/>
  <c r="AR41" i="30" s="1"/>
  <c r="AC41" i="30"/>
  <c r="AD41" i="30" s="1"/>
  <c r="AF41" i="30" s="1"/>
  <c r="AG41" i="30" s="1"/>
  <c r="U41" i="30"/>
  <c r="V41" i="30" s="1"/>
  <c r="EM33" i="30"/>
  <c r="EB33" i="30"/>
  <c r="DQ33" i="30"/>
  <c r="DF33" i="30"/>
  <c r="CU33" i="30"/>
  <c r="CJ33" i="30"/>
  <c r="BY33" i="30"/>
  <c r="BN33" i="30"/>
  <c r="BC33" i="30"/>
  <c r="AR33" i="30"/>
  <c r="AG33" i="30"/>
  <c r="V33" i="30"/>
  <c r="EM32" i="30"/>
  <c r="EB32" i="30"/>
  <c r="DQ32" i="30"/>
  <c r="DF32" i="30"/>
  <c r="CU32" i="30"/>
  <c r="CJ32" i="30"/>
  <c r="BY32" i="30"/>
  <c r="BN32" i="30"/>
  <c r="BC32" i="30"/>
  <c r="AR32" i="30"/>
  <c r="AG32" i="30"/>
  <c r="V32" i="30"/>
  <c r="EM30" i="30"/>
  <c r="EB30" i="30"/>
  <c r="DQ30" i="30"/>
  <c r="DF30" i="30"/>
  <c r="CU30" i="30"/>
  <c r="CJ30" i="30"/>
  <c r="BY30" i="30"/>
  <c r="BN30" i="30"/>
  <c r="BC30" i="30"/>
  <c r="AR30" i="30"/>
  <c r="AG30" i="30"/>
  <c r="V30" i="30"/>
  <c r="EM29" i="30"/>
  <c r="EB29" i="30"/>
  <c r="DQ29" i="30"/>
  <c r="DF29" i="30"/>
  <c r="CU29" i="30"/>
  <c r="CJ29" i="30"/>
  <c r="BY29" i="30"/>
  <c r="BN29" i="30"/>
  <c r="BC29" i="30"/>
  <c r="AR29" i="30"/>
  <c r="AG29" i="30"/>
  <c r="V29" i="30"/>
  <c r="EM28" i="30"/>
  <c r="EB28" i="30"/>
  <c r="DQ28" i="30"/>
  <c r="DF28" i="30"/>
  <c r="CU28" i="30"/>
  <c r="CJ28" i="30"/>
  <c r="BY28" i="30"/>
  <c r="BN28" i="30"/>
  <c r="BC28" i="30"/>
  <c r="AR28" i="30"/>
  <c r="AG28" i="30"/>
  <c r="V28" i="30"/>
  <c r="EM27" i="30"/>
  <c r="EB27" i="30"/>
  <c r="DQ27" i="30"/>
  <c r="DF27" i="30"/>
  <c r="CU27" i="30"/>
  <c r="CJ27" i="30"/>
  <c r="BY27" i="30"/>
  <c r="BN27" i="30"/>
  <c r="BC27" i="30"/>
  <c r="AR27" i="30"/>
  <c r="AG27" i="30"/>
  <c r="V27" i="30"/>
  <c r="S25" i="30"/>
  <c r="S24" i="30"/>
  <c r="FB13" i="30"/>
  <c r="FB12" i="30"/>
  <c r="FB11" i="30"/>
  <c r="FB10" i="30"/>
  <c r="FB9" i="30"/>
  <c r="FB8" i="30"/>
  <c r="FB7" i="30"/>
  <c r="EY7" i="30"/>
  <c r="FB6" i="30"/>
  <c r="FB5" i="30"/>
  <c r="FB4" i="30"/>
  <c r="AG4" i="30"/>
  <c r="S4" i="30"/>
  <c r="I5" i="30" s="1"/>
  <c r="FB3" i="30"/>
  <c r="AG3" i="30"/>
  <c r="S3" i="30"/>
  <c r="FB2" i="30"/>
  <c r="EY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S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216" i="5"/>
  <c r="AP216" i="5"/>
  <c r="S48" i="29" s="1"/>
  <c r="K52" i="29" s="1"/>
  <c r="S52" i="29" s="1"/>
  <c r="AO216" i="5"/>
  <c r="S47" i="29" s="1"/>
  <c r="AN216" i="5"/>
  <c r="S46" i="29" s="1"/>
  <c r="AM216" i="5"/>
  <c r="AL216" i="5"/>
  <c r="AD48" i="29" s="1"/>
  <c r="AK216" i="5"/>
  <c r="AD47" i="29" s="1"/>
  <c r="AJ216" i="5"/>
  <c r="AI216" i="5"/>
  <c r="AH216" i="5"/>
  <c r="AQ211" i="5"/>
  <c r="AP211" i="5"/>
  <c r="S43" i="28" s="1"/>
  <c r="I44" i="28" s="1"/>
  <c r="AO211" i="5"/>
  <c r="S42" i="28" s="1"/>
  <c r="AN211" i="5"/>
  <c r="S41" i="28" s="1"/>
  <c r="AM211" i="5"/>
  <c r="AL211" i="5"/>
  <c r="AC43" i="28" s="1"/>
  <c r="AK211" i="5"/>
  <c r="AC42" i="28" s="1"/>
  <c r="AJ211" i="5"/>
  <c r="AI211" i="5"/>
  <c r="AH211" i="5"/>
  <c r="AQ206" i="5"/>
  <c r="AP206" i="5"/>
  <c r="S43" i="27" s="1"/>
  <c r="I44" i="27" s="1"/>
  <c r="AO206" i="5"/>
  <c r="S42" i="27" s="1"/>
  <c r="AN206" i="5"/>
  <c r="S41" i="27" s="1"/>
  <c r="AM206" i="5"/>
  <c r="AL206" i="5"/>
  <c r="AC43" i="27" s="1"/>
  <c r="AK206" i="5"/>
  <c r="AC42" i="27" s="1"/>
  <c r="AJ206" i="5"/>
  <c r="AI206" i="5"/>
  <c r="AH206" i="5"/>
  <c r="AQ200" i="5"/>
  <c r="AP200" i="5"/>
  <c r="S48" i="32" s="1"/>
  <c r="K52" i="32" s="1"/>
  <c r="S52" i="32" s="1"/>
  <c r="AO200" i="5"/>
  <c r="S47" i="32" s="1"/>
  <c r="AN200" i="5"/>
  <c r="S46" i="32" s="1"/>
  <c r="AM200" i="5"/>
  <c r="AL200" i="5"/>
  <c r="AD48" i="32" s="1"/>
  <c r="AK200" i="5"/>
  <c r="AD47" i="32" s="1"/>
  <c r="AJ200" i="5"/>
  <c r="AI200" i="5"/>
  <c r="AH200" i="5"/>
  <c r="AQ195" i="5"/>
  <c r="AP195" i="5"/>
  <c r="S44" i="31" s="1"/>
  <c r="I45" i="31" s="1"/>
  <c r="AO195" i="5"/>
  <c r="S43" i="31" s="1"/>
  <c r="AN195" i="5"/>
  <c r="S42" i="31" s="1"/>
  <c r="AM195" i="5"/>
  <c r="AL195" i="5"/>
  <c r="AG44" i="31" s="1"/>
  <c r="AK195" i="5"/>
  <c r="AG43" i="31" s="1"/>
  <c r="AJ195" i="5"/>
  <c r="AI195" i="5"/>
  <c r="AH195" i="5"/>
  <c r="AP190" i="5"/>
  <c r="S348" i="30" s="1"/>
  <c r="I349" i="30" s="1"/>
  <c r="AO190" i="5"/>
  <c r="S347" i="30" s="1"/>
  <c r="AN190" i="5"/>
  <c r="AL190" i="5"/>
  <c r="AG348" i="30" s="1"/>
  <c r="AJ190" i="5"/>
  <c r="AH190" i="5"/>
  <c r="AP187" i="5"/>
  <c r="S338" i="30" s="1"/>
  <c r="I339" i="30" s="1"/>
  <c r="AO187" i="5"/>
  <c r="S337" i="30" s="1"/>
  <c r="AN187" i="5"/>
  <c r="AL187" i="5"/>
  <c r="AG338" i="30" s="1"/>
  <c r="AJ187" i="5"/>
  <c r="AH187" i="5"/>
  <c r="AP184" i="5"/>
  <c r="S328" i="30" s="1"/>
  <c r="I329" i="30" s="1"/>
  <c r="AO184" i="5"/>
  <c r="S327" i="30" s="1"/>
  <c r="AN184" i="5"/>
  <c r="AL184" i="5"/>
  <c r="AG328" i="30" s="1"/>
  <c r="AJ184" i="5"/>
  <c r="AI184" i="5"/>
  <c r="AH184" i="5"/>
  <c r="AP181" i="5"/>
  <c r="S318" i="30" s="1"/>
  <c r="I319" i="30" s="1"/>
  <c r="AO181" i="5"/>
  <c r="S317" i="30" s="1"/>
  <c r="AN181" i="5"/>
  <c r="AL181" i="5"/>
  <c r="AG318" i="30" s="1"/>
  <c r="AJ181" i="5"/>
  <c r="AH181" i="5"/>
  <c r="AP178" i="5"/>
  <c r="S308" i="30" s="1"/>
  <c r="I309" i="30" s="1"/>
  <c r="AO178" i="5"/>
  <c r="S307" i="30" s="1"/>
  <c r="AN178" i="5"/>
  <c r="AL178" i="5"/>
  <c r="AG308" i="30" s="1"/>
  <c r="AJ178" i="5"/>
  <c r="AH178" i="5"/>
  <c r="AP175" i="5"/>
  <c r="S298" i="30" s="1"/>
  <c r="I299" i="30" s="1"/>
  <c r="AO175" i="5"/>
  <c r="S297" i="30" s="1"/>
  <c r="AN175" i="5"/>
  <c r="AL175" i="5"/>
  <c r="AG298" i="30" s="1"/>
  <c r="AJ175" i="5"/>
  <c r="AH175" i="5"/>
  <c r="AP172" i="5"/>
  <c r="S288" i="30" s="1"/>
  <c r="I289" i="30" s="1"/>
  <c r="AO172" i="5"/>
  <c r="S287" i="30" s="1"/>
  <c r="AN172" i="5"/>
  <c r="AL172" i="5"/>
  <c r="AG288" i="30" s="1"/>
  <c r="AJ172" i="5"/>
  <c r="AI172" i="5"/>
  <c r="AH172" i="5"/>
  <c r="AP169" i="5"/>
  <c r="S278" i="30" s="1"/>
  <c r="I279" i="30" s="1"/>
  <c r="AO169" i="5"/>
  <c r="S277" i="30" s="1"/>
  <c r="AN169" i="5"/>
  <c r="AL169" i="5"/>
  <c r="AG278" i="30" s="1"/>
  <c r="AJ169" i="5"/>
  <c r="AH169" i="5"/>
  <c r="AP166" i="5"/>
  <c r="S268" i="30" s="1"/>
  <c r="I269" i="30" s="1"/>
  <c r="AO166" i="5"/>
  <c r="AN166" i="5"/>
  <c r="AL166" i="5"/>
  <c r="AG268" i="30" s="1"/>
  <c r="AJ166" i="5"/>
  <c r="AH166" i="5"/>
  <c r="AP164" i="5"/>
  <c r="S260" i="30" s="1"/>
  <c r="I261" i="30" s="1"/>
  <c r="AO164" i="5"/>
  <c r="S259" i="30" s="1"/>
  <c r="AN164" i="5"/>
  <c r="S258" i="30" s="1"/>
  <c r="AL164" i="5"/>
  <c r="AG260" i="30" s="1"/>
  <c r="AJ164" i="5"/>
  <c r="AH164" i="5"/>
  <c r="AP160" i="5"/>
  <c r="S248" i="30" s="1"/>
  <c r="I249" i="30" s="1"/>
  <c r="AO160" i="5"/>
  <c r="S247" i="30" s="1"/>
  <c r="AN160" i="5"/>
  <c r="AL160" i="5"/>
  <c r="AG248" i="30" s="1"/>
  <c r="AJ160" i="5"/>
  <c r="AH160" i="5"/>
  <c r="AP157" i="5"/>
  <c r="S238" i="30" s="1"/>
  <c r="I239" i="30" s="1"/>
  <c r="AO157" i="5"/>
  <c r="S237" i="30" s="1"/>
  <c r="AN157" i="5"/>
  <c r="AL157" i="5"/>
  <c r="AG238" i="30" s="1"/>
  <c r="AJ157" i="5"/>
  <c r="AI157" i="5"/>
  <c r="AH157" i="5"/>
  <c r="AP154" i="5"/>
  <c r="S228" i="30" s="1"/>
  <c r="I229" i="30" s="1"/>
  <c r="AO154" i="5"/>
  <c r="S227" i="30" s="1"/>
  <c r="AN154" i="5"/>
  <c r="AL154" i="5"/>
  <c r="AG228" i="30" s="1"/>
  <c r="AJ154" i="5"/>
  <c r="AH154" i="5"/>
  <c r="AP151" i="5"/>
  <c r="S218" i="30" s="1"/>
  <c r="I219" i="30" s="1"/>
  <c r="AO151" i="5"/>
  <c r="S217" i="30" s="1"/>
  <c r="AN151" i="5"/>
  <c r="AL151" i="5"/>
  <c r="AG218" i="30" s="1"/>
  <c r="AJ151" i="5"/>
  <c r="AH151" i="5"/>
  <c r="AP148" i="5"/>
  <c r="S208" i="30" s="1"/>
  <c r="I209" i="30" s="1"/>
  <c r="AO148" i="5"/>
  <c r="S207" i="30" s="1"/>
  <c r="AN148" i="5"/>
  <c r="AL148" i="5"/>
  <c r="AG208" i="30" s="1"/>
  <c r="AJ148" i="5"/>
  <c r="AI148" i="5"/>
  <c r="AH148" i="5"/>
  <c r="AP145" i="5"/>
  <c r="S198" i="30" s="1"/>
  <c r="I199" i="30" s="1"/>
  <c r="AO145" i="5"/>
  <c r="S197" i="30" s="1"/>
  <c r="AN145" i="5"/>
  <c r="AL145" i="5"/>
  <c r="AG198" i="30" s="1"/>
  <c r="AJ145" i="5"/>
  <c r="AI145" i="5"/>
  <c r="AH145" i="5"/>
  <c r="AP142" i="5"/>
  <c r="S188" i="30" s="1"/>
  <c r="I189" i="30" s="1"/>
  <c r="AO142" i="5"/>
  <c r="S187" i="30" s="1"/>
  <c r="AN142" i="5"/>
  <c r="AL142" i="5"/>
  <c r="AG188" i="30" s="1"/>
  <c r="AJ142" i="5"/>
  <c r="AH142" i="5"/>
  <c r="AP139" i="5"/>
  <c r="S178" i="30" s="1"/>
  <c r="I179" i="30" s="1"/>
  <c r="AO139" i="5"/>
  <c r="S177" i="30" s="1"/>
  <c r="AN139" i="5"/>
  <c r="AL139" i="5"/>
  <c r="AG178" i="30" s="1"/>
  <c r="AJ139" i="5"/>
  <c r="AH139" i="5"/>
  <c r="AP136" i="5"/>
  <c r="S168" i="30" s="1"/>
  <c r="I169" i="30" s="1"/>
  <c r="AO136" i="5"/>
  <c r="AN136" i="5"/>
  <c r="AL136" i="5"/>
  <c r="AG168" i="30" s="1"/>
  <c r="AJ136" i="5"/>
  <c r="AI136" i="5"/>
  <c r="AH136" i="5"/>
  <c r="AP134" i="5"/>
  <c r="S160" i="30" s="1"/>
  <c r="I161" i="30" s="1"/>
  <c r="AO134" i="5"/>
  <c r="S159" i="30" s="1"/>
  <c r="AN134" i="5"/>
  <c r="S158" i="30" s="1"/>
  <c r="AL134" i="5"/>
  <c r="AG160" i="30" s="1"/>
  <c r="AJ134" i="5"/>
  <c r="AI134" i="5"/>
  <c r="AH134" i="5"/>
  <c r="AP130" i="5"/>
  <c r="S148" i="30" s="1"/>
  <c r="I149" i="30" s="1"/>
  <c r="AO130" i="5"/>
  <c r="S147" i="30" s="1"/>
  <c r="AN130" i="5"/>
  <c r="AL130" i="5"/>
  <c r="AG148" i="30" s="1"/>
  <c r="AJ130" i="5"/>
  <c r="AI130" i="5"/>
  <c r="AH130" i="5"/>
  <c r="AP127" i="5"/>
  <c r="S138" i="30" s="1"/>
  <c r="I139" i="30" s="1"/>
  <c r="AO127" i="5"/>
  <c r="AN127" i="5"/>
  <c r="AL127" i="5"/>
  <c r="AG138" i="30" s="1"/>
  <c r="AJ127" i="5"/>
  <c r="AH127" i="5"/>
  <c r="AP125" i="5"/>
  <c r="S130" i="30" s="1"/>
  <c r="I131" i="30" s="1"/>
  <c r="AO125" i="5"/>
  <c r="AN125" i="5"/>
  <c r="AL125" i="5"/>
  <c r="AG130" i="30" s="1"/>
  <c r="AJ125" i="5"/>
  <c r="AH125" i="5"/>
  <c r="AP123" i="5"/>
  <c r="S122" i="30" s="1"/>
  <c r="I123" i="30" s="1"/>
  <c r="AO123" i="5"/>
  <c r="S121" i="30" s="1"/>
  <c r="AN123" i="5"/>
  <c r="AL123" i="5"/>
  <c r="AG122" i="30" s="1"/>
  <c r="AJ123" i="5"/>
  <c r="AH123" i="5"/>
  <c r="AP120" i="5"/>
  <c r="S112" i="30" s="1"/>
  <c r="I113" i="30" s="1"/>
  <c r="AO120" i="5"/>
  <c r="S111" i="30" s="1"/>
  <c r="AN120" i="5"/>
  <c r="AL120" i="5"/>
  <c r="AG112" i="30" s="1"/>
  <c r="AJ120" i="5"/>
  <c r="AH120" i="5"/>
  <c r="AP117" i="5"/>
  <c r="S102" i="30" s="1"/>
  <c r="I103" i="30" s="1"/>
  <c r="AO117" i="5"/>
  <c r="S101" i="30" s="1"/>
  <c r="AN117" i="5"/>
  <c r="AL117" i="5"/>
  <c r="AG102" i="30" s="1"/>
  <c r="AJ117" i="5"/>
  <c r="AI117" i="5"/>
  <c r="AH117" i="5"/>
  <c r="AP114" i="5"/>
  <c r="S92" i="30" s="1"/>
  <c r="I93" i="30" s="1"/>
  <c r="AO114" i="5"/>
  <c r="S91" i="30" s="1"/>
  <c r="AN114" i="5"/>
  <c r="AL114" i="5"/>
  <c r="AG92" i="30" s="1"/>
  <c r="AJ114" i="5"/>
  <c r="AI114" i="5"/>
  <c r="AH114" i="5"/>
  <c r="AP111" i="5"/>
  <c r="S82" i="30" s="1"/>
  <c r="I83" i="30" s="1"/>
  <c r="AO111" i="5"/>
  <c r="S81" i="30" s="1"/>
  <c r="AN111" i="5"/>
  <c r="AL111" i="5"/>
  <c r="AG82" i="30" s="1"/>
  <c r="AJ111" i="5"/>
  <c r="AH111" i="5"/>
  <c r="AP108" i="5"/>
  <c r="S72" i="30" s="1"/>
  <c r="I73" i="30" s="1"/>
  <c r="AO108" i="5"/>
  <c r="S71" i="30" s="1"/>
  <c r="AN108" i="5"/>
  <c r="AL108" i="5"/>
  <c r="AG72" i="30" s="1"/>
  <c r="AJ108" i="5"/>
  <c r="AH108" i="5"/>
  <c r="AP105" i="5"/>
  <c r="S62" i="30" s="1"/>
  <c r="I63" i="30" s="1"/>
  <c r="AO105" i="5"/>
  <c r="S61" i="30" s="1"/>
  <c r="AN105" i="5"/>
  <c r="AL105" i="5"/>
  <c r="AG62" i="30" s="1"/>
  <c r="AJ105" i="5"/>
  <c r="AI105" i="5"/>
  <c r="AH105" i="5"/>
  <c r="AP102" i="5"/>
  <c r="S52" i="30" s="1"/>
  <c r="I53" i="30" s="1"/>
  <c r="AO102" i="5"/>
  <c r="AN102" i="5"/>
  <c r="AL102" i="5"/>
  <c r="AG52" i="30" s="1"/>
  <c r="AJ102" i="5"/>
  <c r="AI102" i="5"/>
  <c r="AH102" i="5"/>
  <c r="AQ100" i="5"/>
  <c r="AP100" i="5"/>
  <c r="S44" i="30" s="1"/>
  <c r="I45" i="30" s="1"/>
  <c r="AO100" i="5"/>
  <c r="S43" i="30" s="1"/>
  <c r="AN100" i="5"/>
  <c r="S42" i="30" s="1"/>
  <c r="AM100" i="5"/>
  <c r="AL100" i="5"/>
  <c r="AG44" i="30" s="1"/>
  <c r="AJ100" i="5"/>
  <c r="AH100" i="5"/>
  <c r="G100" i="5"/>
  <c r="AI187" i="5" s="1"/>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AM74" i="5"/>
  <c r="AL74" i="5"/>
  <c r="AK74" i="5"/>
  <c r="AC42" i="21" s="1"/>
  <c r="AJ74" i="5"/>
  <c r="AI74" i="5"/>
  <c r="AH74" i="5"/>
  <c r="AQ58" i="5"/>
  <c r="AP58" i="5"/>
  <c r="S45" i="14" s="1"/>
  <c r="AO58" i="5"/>
  <c r="S44" i="14" s="1"/>
  <c r="AN58" i="5"/>
  <c r="S43" i="14" s="1"/>
  <c r="AM58" i="5"/>
  <c r="AL58" i="5"/>
  <c r="AD45" i="14" s="1"/>
  <c r="AK58" i="5"/>
  <c r="AD44" i="13" s="1"/>
  <c r="AJ58" i="5"/>
  <c r="AD43" i="13" s="1"/>
  <c r="AI58" i="5"/>
  <c r="AH58" i="5"/>
  <c r="AQ53" i="5"/>
  <c r="S48" i="25" s="1"/>
  <c r="AP53" i="5"/>
  <c r="S47" i="25" s="1"/>
  <c r="AO53" i="5"/>
  <c r="S46" i="25" s="1"/>
  <c r="AN53" i="5"/>
  <c r="S45" i="25" s="1"/>
  <c r="AM53" i="5"/>
  <c r="AL53" i="5"/>
  <c r="AK53" i="5"/>
  <c r="AJ53" i="5"/>
  <c r="AI53" i="5"/>
  <c r="AH53" i="5"/>
  <c r="AQ48" i="5"/>
  <c r="S48" i="20" s="1"/>
  <c r="AP48" i="5"/>
  <c r="AO48" i="5"/>
  <c r="S46" i="20" s="1"/>
  <c r="AN48" i="5"/>
  <c r="S45" i="20" s="1"/>
  <c r="AM48" i="5"/>
  <c r="AB48" i="20" s="1"/>
  <c r="AL48" i="5"/>
  <c r="AB47" i="20" s="1"/>
  <c r="AK48" i="5"/>
  <c r="AB46" i="20" s="1"/>
  <c r="AJ48" i="5"/>
  <c r="AI48" i="5"/>
  <c r="AH48" i="5"/>
  <c r="AQ43" i="5"/>
  <c r="S46" i="15" s="1"/>
  <c r="I47" i="15" s="1"/>
  <c r="AP43" i="5"/>
  <c r="S45" i="15" s="1"/>
  <c r="AO43" i="5"/>
  <c r="S44" i="15" s="1"/>
  <c r="AN43" i="5"/>
  <c r="AM43" i="5"/>
  <c r="AD46" i="15" s="1"/>
  <c r="AL43" i="5"/>
  <c r="AK43" i="5"/>
  <c r="AD44" i="15" s="1"/>
  <c r="AJ43" i="5"/>
  <c r="AI43" i="5"/>
  <c r="AH43" i="5"/>
  <c r="AQ38" i="5"/>
  <c r="S46" i="18" s="1"/>
  <c r="AP38" i="5"/>
  <c r="AO38" i="5"/>
  <c r="S44" i="18" s="1"/>
  <c r="AN38" i="5"/>
  <c r="S43" i="18" s="1"/>
  <c r="AM38" i="5"/>
  <c r="AD46" i="18" s="1"/>
  <c r="AL38" i="5"/>
  <c r="AD45" i="18" s="1"/>
  <c r="AK38" i="5"/>
  <c r="AD44" i="18" s="1"/>
  <c r="AJ38" i="5"/>
  <c r="AI38" i="5"/>
  <c r="AH38" i="5"/>
  <c r="AQ33" i="5"/>
  <c r="S46" i="17" s="1"/>
  <c r="AP33" i="5"/>
  <c r="AO33" i="5"/>
  <c r="S44" i="17" s="1"/>
  <c r="AN33" i="5"/>
  <c r="S43" i="17" s="1"/>
  <c r="AM33" i="5"/>
  <c r="AL33" i="5"/>
  <c r="AD45" i="17" s="1"/>
  <c r="AK33" i="5"/>
  <c r="AD44" i="17" s="1"/>
  <c r="AJ33" i="5"/>
  <c r="AD43" i="17" s="1"/>
  <c r="AI33" i="5"/>
  <c r="AH33" i="5"/>
  <c r="AQ28" i="5"/>
  <c r="U52" i="19" s="1"/>
  <c r="I53" i="19" s="1"/>
  <c r="J54" i="19" s="1"/>
  <c r="AP28" i="5"/>
  <c r="U51" i="19" s="1"/>
  <c r="AO28" i="5"/>
  <c r="U50" i="19" s="1"/>
  <c r="AN28" i="5"/>
  <c r="U49" i="19" s="1"/>
  <c r="AM28" i="5"/>
  <c r="AG52" i="19" s="1"/>
  <c r="AL28" i="5"/>
  <c r="AG51" i="19" s="1"/>
  <c r="AK28" i="5"/>
  <c r="AJ28" i="5"/>
  <c r="AI28" i="5"/>
  <c r="AH28" i="5"/>
  <c r="AQ23" i="5"/>
  <c r="L22" i="62" s="1"/>
  <c r="F23" i="62" s="1"/>
  <c r="AP23" i="5"/>
  <c r="L21" i="62" s="1"/>
  <c r="AO23" i="5"/>
  <c r="AN23" i="5"/>
  <c r="L19" i="62" s="1"/>
  <c r="AM23" i="5"/>
  <c r="O22" i="62" s="1"/>
  <c r="AL23" i="5"/>
  <c r="O21" i="62" s="1"/>
  <c r="AK23" i="5"/>
  <c r="AJ23" i="5"/>
  <c r="AD43" i="16"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AM13" i="5"/>
  <c r="AD46" i="11" s="1"/>
  <c r="AL13" i="5"/>
  <c r="AK13" i="5"/>
  <c r="AD44" i="11" s="1"/>
  <c r="AJ13" i="5"/>
  <c r="AI13" i="5"/>
  <c r="AH13" i="5"/>
  <c r="D6" i="5"/>
  <c r="D5" i="5"/>
  <c r="R13" i="4"/>
  <c r="Q13" i="4"/>
  <c r="P13" i="4"/>
  <c r="I13" i="4"/>
  <c r="E7" i="4"/>
  <c r="D5" i="4"/>
  <c r="D4" i="4"/>
  <c r="O37" i="3"/>
  <c r="M37" i="3" a="1"/>
  <c r="M37" i="3"/>
  <c r="E37" i="3"/>
  <c r="E36" i="3"/>
  <c r="G36" i="3" s="1"/>
  <c r="O34" i="3"/>
  <c r="M34" i="3" a="1"/>
  <c r="M34" i="3" s="1"/>
  <c r="E34" i="3"/>
  <c r="E33" i="3"/>
  <c r="G33" i="3" s="1"/>
  <c r="O31" i="3"/>
  <c r="M31" i="3" a="1"/>
  <c r="M31" i="3"/>
  <c r="E31" i="3"/>
  <c r="E30" i="3"/>
  <c r="G30" i="3" s="1"/>
  <c r="O28" i="3"/>
  <c r="M28" i="3" a="1"/>
  <c r="M28" i="3" s="1"/>
  <c r="E28" i="3"/>
  <c r="E27" i="3"/>
  <c r="G27" i="3" s="1"/>
  <c r="O25" i="3"/>
  <c r="M25" i="3" a="1"/>
  <c r="M25" i="3"/>
  <c r="E25" i="3"/>
  <c r="E24" i="3"/>
  <c r="G24" i="3" s="1"/>
  <c r="O22" i="3"/>
  <c r="M22" i="3" a="1"/>
  <c r="M22" i="3" s="1"/>
  <c r="E22" i="3"/>
  <c r="E21" i="3"/>
  <c r="G21" i="3" s="1"/>
  <c r="O19" i="3"/>
  <c r="M19" i="3" a="1"/>
  <c r="M19" i="3"/>
  <c r="E19" i="3"/>
  <c r="E18" i="3"/>
  <c r="G18" i="3" s="1"/>
  <c r="O16" i="3"/>
  <c r="M16" i="3" a="1"/>
  <c r="M16" i="3" s="1"/>
  <c r="E16" i="3"/>
  <c r="E15" i="3"/>
  <c r="G15" i="3" s="1"/>
  <c r="O13" i="3"/>
  <c r="M13" i="3" a="1"/>
  <c r="M13" i="3"/>
  <c r="E13" i="3"/>
  <c r="E12" i="3"/>
  <c r="G12" i="3" s="1"/>
  <c r="N134" i="5" s="1"/>
  <c r="E4" i="3"/>
  <c r="E59" i="2"/>
  <c r="E49" i="2"/>
  <c r="E41" i="2"/>
  <c r="E31" i="2"/>
  <c r="E27" i="2"/>
  <c r="E26" i="2"/>
  <c r="F25" i="2"/>
  <c r="E22" i="2"/>
  <c r="E21" i="2"/>
  <c r="F20" i="2"/>
  <c r="E19" i="2"/>
  <c r="I9" i="2"/>
  <c r="E5" i="2"/>
  <c r="E3" i="2"/>
  <c r="E2" i="2"/>
  <c r="B5" i="1"/>
  <c r="Y25" i="62"/>
  <c r="M10" i="53"/>
  <c r="M2" i="53"/>
  <c r="M2" i="52"/>
  <c r="EZ251" i="30"/>
  <c r="EZ231" i="30"/>
  <c r="EZ211" i="30"/>
  <c r="EZ191" i="30"/>
  <c r="EZ171" i="30"/>
  <c r="M10" i="52"/>
  <c r="EZ341" i="30"/>
  <c r="EZ321" i="30"/>
  <c r="EZ301" i="30"/>
  <c r="EZ281" i="30"/>
  <c r="EZ263" i="30"/>
  <c r="AT47" i="31"/>
  <c r="EZ241" i="30"/>
  <c r="EZ221" i="30"/>
  <c r="EZ201" i="30"/>
  <c r="EZ181" i="30"/>
  <c r="EZ163" i="30"/>
  <c r="AT7" i="31"/>
  <c r="EZ351" i="30"/>
  <c r="EZ331" i="30"/>
  <c r="EZ311" i="30"/>
  <c r="EZ291" i="30"/>
  <c r="EZ271" i="30"/>
  <c r="EZ151" i="30"/>
  <c r="EZ133" i="30"/>
  <c r="EZ115" i="30"/>
  <c r="EZ95" i="30"/>
  <c r="EZ75" i="30"/>
  <c r="EZ55" i="30"/>
  <c r="AL46" i="27"/>
  <c r="AL8" i="25"/>
  <c r="EZ141" i="30"/>
  <c r="EZ125" i="30"/>
  <c r="EZ105" i="30"/>
  <c r="EZ85" i="30"/>
  <c r="EZ65" i="30"/>
  <c r="EZ47" i="30"/>
  <c r="AL7" i="28"/>
  <c r="AL51" i="25"/>
  <c r="AL46" i="24"/>
  <c r="EZ7" i="30"/>
  <c r="AL46" i="28"/>
  <c r="AL7" i="27"/>
  <c r="AL46" i="23"/>
  <c r="AL7" i="22"/>
  <c r="AN49" i="18"/>
  <c r="AN49" i="17"/>
  <c r="AN49" i="16"/>
  <c r="AN49" i="15"/>
  <c r="AN8" i="14"/>
  <c r="AN49" i="13"/>
  <c r="AN8" i="12"/>
  <c r="AN49" i="11"/>
  <c r="AR8" i="19"/>
  <c r="AL46" i="22"/>
  <c r="AL46" i="21"/>
  <c r="AR56" i="19"/>
  <c r="AR55" i="19"/>
  <c r="AN8" i="15"/>
  <c r="AN49" i="14"/>
  <c r="AN8" i="13"/>
  <c r="AN49" i="12"/>
  <c r="AN8" i="11"/>
  <c r="AN8" i="18"/>
  <c r="AN8" i="17"/>
  <c r="AN8" i="16"/>
  <c r="AL7" i="24"/>
  <c r="AL7" i="23"/>
  <c r="AV8" i="20"/>
  <c r="AL7" i="21"/>
  <c r="AV51" i="20"/>
  <c r="J13" i="3"/>
  <c r="L20" i="62" l="1"/>
  <c r="S44" i="16"/>
  <c r="S44" i="23"/>
  <c r="J45" i="23"/>
  <c r="S6" i="13"/>
  <c r="J7" i="13"/>
  <c r="AK136" i="5"/>
  <c r="AK134" i="5"/>
  <c r="AG159" i="30" s="1"/>
  <c r="N181" i="5"/>
  <c r="AK181" i="5" s="1"/>
  <c r="AG317" i="30" s="1"/>
  <c r="N117" i="5"/>
  <c r="AK117" i="5" s="1"/>
  <c r="AG101" i="30" s="1"/>
  <c r="N154" i="5"/>
  <c r="AK154" i="5" s="1"/>
  <c r="AG227" i="30" s="1"/>
  <c r="N184" i="5"/>
  <c r="AK184" i="5" s="1"/>
  <c r="AG327" i="30" s="1"/>
  <c r="S47" i="11"/>
  <c r="J48" i="11"/>
  <c r="J48" i="17"/>
  <c r="I47" i="17"/>
  <c r="J48" i="15"/>
  <c r="S47" i="15"/>
  <c r="J180" i="30"/>
  <c r="S179" i="30"/>
  <c r="J220" i="30"/>
  <c r="S219" i="30"/>
  <c r="N164" i="5"/>
  <c r="J270" i="30"/>
  <c r="S269" i="30"/>
  <c r="N169" i="5"/>
  <c r="AK169" i="5" s="1"/>
  <c r="AG277" i="30" s="1"/>
  <c r="N105" i="5"/>
  <c r="AK105" i="5" s="1"/>
  <c r="AG61" i="30" s="1"/>
  <c r="N142" i="5"/>
  <c r="AK142" i="5" s="1"/>
  <c r="AG187" i="30" s="1"/>
  <c r="N172" i="5"/>
  <c r="AK172" i="5" s="1"/>
  <c r="AG287" i="30" s="1"/>
  <c r="I9" i="48"/>
  <c r="H9" i="43"/>
  <c r="I26" i="38"/>
  <c r="I10" i="36"/>
  <c r="I7" i="37"/>
  <c r="I10" i="35"/>
  <c r="H14" i="34"/>
  <c r="I25" i="33"/>
  <c r="S47" i="12"/>
  <c r="J48" i="12"/>
  <c r="O20" i="62"/>
  <c r="AD44" i="16"/>
  <c r="N111" i="5"/>
  <c r="AK111" i="5" s="1"/>
  <c r="AG81" i="30" s="1"/>
  <c r="N175" i="5"/>
  <c r="AK175" i="5" s="1"/>
  <c r="AG297" i="30" s="1"/>
  <c r="N145" i="5"/>
  <c r="AK145" i="5" s="1"/>
  <c r="AG197" i="30" s="1"/>
  <c r="N148" i="5"/>
  <c r="AK148" i="5" s="1"/>
  <c r="AG207" i="30" s="1"/>
  <c r="N178" i="5"/>
  <c r="AK178" i="5" s="1"/>
  <c r="AG307" i="30" s="1"/>
  <c r="N114" i="5"/>
  <c r="AK114" i="5" s="1"/>
  <c r="AG91" i="30" s="1"/>
  <c r="J45" i="21"/>
  <c r="S44" i="21"/>
  <c r="N187" i="5"/>
  <c r="AK187" i="5" s="1"/>
  <c r="AG337" i="30" s="1"/>
  <c r="N157" i="5"/>
  <c r="AK157" i="5" s="1"/>
  <c r="AG237" i="30" s="1"/>
  <c r="N123" i="5"/>
  <c r="N160" i="5"/>
  <c r="AK160" i="5" s="1"/>
  <c r="AG247" i="30" s="1"/>
  <c r="N190" i="5"/>
  <c r="AK190" i="5" s="1"/>
  <c r="AG347" i="30" s="1"/>
  <c r="N130" i="5"/>
  <c r="AK130" i="5" s="1"/>
  <c r="AG147" i="30" s="1"/>
  <c r="S44" i="22"/>
  <c r="J45" i="22"/>
  <c r="S73" i="30"/>
  <c r="J74" i="30"/>
  <c r="S113" i="30"/>
  <c r="J114" i="30"/>
  <c r="N139" i="5"/>
  <c r="AK139" i="5" s="1"/>
  <c r="AG177" i="30" s="1"/>
  <c r="N151" i="5"/>
  <c r="AK151" i="5" s="1"/>
  <c r="AG217" i="30" s="1"/>
  <c r="J7" i="12"/>
  <c r="S6" i="12"/>
  <c r="S7" i="16"/>
  <c r="K8" i="16"/>
  <c r="S8" i="16" s="1"/>
  <c r="J6" i="21"/>
  <c r="S5" i="21"/>
  <c r="J6" i="24"/>
  <c r="S5" i="24"/>
  <c r="K55" i="19"/>
  <c r="U54" i="19"/>
  <c r="J48" i="18"/>
  <c r="I47" i="18"/>
  <c r="J50" i="20"/>
  <c r="K51" i="20"/>
  <c r="S51" i="20" s="1"/>
  <c r="I49" i="20"/>
  <c r="AD46" i="14"/>
  <c r="AD46" i="13"/>
  <c r="S46" i="14"/>
  <c r="I47" i="14" s="1"/>
  <c r="S46" i="13"/>
  <c r="I47" i="13" s="1"/>
  <c r="N100" i="5"/>
  <c r="N108" i="5"/>
  <c r="AK108" i="5" s="1"/>
  <c r="AG71" i="30" s="1"/>
  <c r="N120" i="5"/>
  <c r="AK120" i="5" s="1"/>
  <c r="AG111" i="30" s="1"/>
  <c r="S261" i="30"/>
  <c r="J262" i="30"/>
  <c r="D41" i="7"/>
  <c r="D43" i="7"/>
  <c r="D44" i="7" s="1"/>
  <c r="D45" i="7" s="1"/>
  <c r="D40" i="7"/>
  <c r="S6" i="11"/>
  <c r="J7" i="11"/>
  <c r="J7" i="15"/>
  <c r="S6" i="15"/>
  <c r="U8" i="19"/>
  <c r="L9" i="19"/>
  <c r="U9" i="19" s="1"/>
  <c r="J6" i="23"/>
  <c r="S5" i="23"/>
  <c r="J350" i="30"/>
  <c r="S349" i="30"/>
  <c r="G215" i="46"/>
  <c r="G91" i="46"/>
  <c r="G277" i="46"/>
  <c r="G153" i="46"/>
  <c r="G27" i="46"/>
  <c r="F280" i="46"/>
  <c r="F156" i="46"/>
  <c r="F30" i="46"/>
  <c r="F218" i="46"/>
  <c r="F94" i="46"/>
  <c r="G221" i="46"/>
  <c r="G97" i="46"/>
  <c r="G283" i="46"/>
  <c r="G159" i="46"/>
  <c r="G33" i="46"/>
  <c r="G227" i="46"/>
  <c r="G103" i="46"/>
  <c r="G289" i="46"/>
  <c r="G165" i="46"/>
  <c r="G39" i="46"/>
  <c r="G233" i="46"/>
  <c r="G109" i="46"/>
  <c r="G295" i="46"/>
  <c r="G171" i="46"/>
  <c r="G45" i="46"/>
  <c r="G239" i="46"/>
  <c r="G115" i="46"/>
  <c r="G301" i="46"/>
  <c r="G177" i="46"/>
  <c r="G51" i="46"/>
  <c r="J46" i="30"/>
  <c r="S45" i="30"/>
  <c r="J84" i="30"/>
  <c r="S83" i="30"/>
  <c r="J140" i="30"/>
  <c r="S139" i="30"/>
  <c r="I11" i="48"/>
  <c r="H11" i="43"/>
  <c r="I28" i="38"/>
  <c r="I12" i="36"/>
  <c r="H16" i="34"/>
  <c r="I9" i="37"/>
  <c r="I12" i="35"/>
  <c r="I27" i="33"/>
  <c r="L23" i="62"/>
  <c r="G24" i="62"/>
  <c r="K51" i="25"/>
  <c r="S51" i="25" s="1"/>
  <c r="I49" i="25"/>
  <c r="J50" i="25"/>
  <c r="AI100" i="5"/>
  <c r="S53" i="30"/>
  <c r="J54" i="30"/>
  <c r="AI108" i="5"/>
  <c r="S93" i="30"/>
  <c r="J94" i="30"/>
  <c r="AI120" i="5"/>
  <c r="S149" i="30"/>
  <c r="J150" i="30"/>
  <c r="G315" i="46"/>
  <c r="G191" i="46"/>
  <c r="G65" i="46"/>
  <c r="G253" i="46"/>
  <c r="G129" i="46"/>
  <c r="AG158" i="30"/>
  <c r="AI139" i="5"/>
  <c r="J200" i="30"/>
  <c r="S199" i="30"/>
  <c r="AI151" i="5"/>
  <c r="J240" i="30"/>
  <c r="S239" i="30"/>
  <c r="AI164" i="5"/>
  <c r="AI166" i="5"/>
  <c r="J290" i="30"/>
  <c r="S289" i="30"/>
  <c r="AI178" i="5"/>
  <c r="J330" i="30"/>
  <c r="S329" i="30"/>
  <c r="AI190" i="5"/>
  <c r="D36" i="7"/>
  <c r="AD43" i="18"/>
  <c r="AB45" i="20"/>
  <c r="AC41" i="22"/>
  <c r="J310" i="30"/>
  <c r="S309" i="30"/>
  <c r="I8" i="37"/>
  <c r="I11" i="36"/>
  <c r="I11" i="35"/>
  <c r="I10" i="48"/>
  <c r="I27" i="38"/>
  <c r="I26" i="33"/>
  <c r="H15" i="34"/>
  <c r="H10" i="43"/>
  <c r="F286" i="46"/>
  <c r="F162" i="46"/>
  <c r="F36" i="46"/>
  <c r="F224" i="46"/>
  <c r="F100" i="46"/>
  <c r="F292" i="46"/>
  <c r="F168" i="46"/>
  <c r="F42" i="46"/>
  <c r="F230" i="46"/>
  <c r="F106" i="46"/>
  <c r="F251" i="46"/>
  <c r="F127" i="46"/>
  <c r="F313" i="46"/>
  <c r="F189" i="46"/>
  <c r="F63" i="46"/>
  <c r="S131" i="30"/>
  <c r="J132" i="30"/>
  <c r="G2" i="46"/>
  <c r="G274" i="46"/>
  <c r="G150" i="46"/>
  <c r="G24" i="46"/>
  <c r="G5" i="46"/>
  <c r="G212" i="46"/>
  <c r="G88" i="46"/>
  <c r="F215" i="46"/>
  <c r="F91" i="46"/>
  <c r="F277" i="46"/>
  <c r="F153" i="46"/>
  <c r="F27" i="46"/>
  <c r="O19" i="62"/>
  <c r="G280" i="46"/>
  <c r="G156" i="46"/>
  <c r="G30" i="46"/>
  <c r="G218" i="46"/>
  <c r="G94" i="46"/>
  <c r="F221" i="46"/>
  <c r="F97" i="46"/>
  <c r="F283" i="46"/>
  <c r="F159" i="46"/>
  <c r="F33" i="46"/>
  <c r="G286" i="46"/>
  <c r="G162" i="46"/>
  <c r="G36" i="46"/>
  <c r="G224" i="46"/>
  <c r="G100" i="46"/>
  <c r="F227" i="46"/>
  <c r="F103" i="46"/>
  <c r="F289" i="46"/>
  <c r="F165" i="46"/>
  <c r="F39" i="46"/>
  <c r="G292" i="46"/>
  <c r="G168" i="46"/>
  <c r="G42" i="46"/>
  <c r="G230" i="46"/>
  <c r="G106" i="46"/>
  <c r="F233" i="46"/>
  <c r="F109" i="46"/>
  <c r="F295" i="46"/>
  <c r="F171" i="46"/>
  <c r="F45" i="46"/>
  <c r="G298" i="46"/>
  <c r="G174" i="46"/>
  <c r="G48" i="46"/>
  <c r="G236" i="46"/>
  <c r="G112" i="46"/>
  <c r="F239" i="46"/>
  <c r="F115" i="46"/>
  <c r="F301" i="46"/>
  <c r="F177" i="46"/>
  <c r="F51" i="46"/>
  <c r="G304" i="46"/>
  <c r="G180" i="46"/>
  <c r="G54" i="46"/>
  <c r="G242" i="46"/>
  <c r="G118" i="46"/>
  <c r="F245" i="46"/>
  <c r="F121" i="46"/>
  <c r="F307" i="46"/>
  <c r="F183" i="46"/>
  <c r="F57" i="46"/>
  <c r="J45" i="24"/>
  <c r="S44" i="24"/>
  <c r="G310" i="46"/>
  <c r="G186" i="46"/>
  <c r="G60" i="46"/>
  <c r="G248" i="46"/>
  <c r="G124" i="46"/>
  <c r="AD46" i="26"/>
  <c r="G251" i="46"/>
  <c r="G127" i="46"/>
  <c r="G313" i="46"/>
  <c r="G189" i="46"/>
  <c r="G63" i="46"/>
  <c r="AG42" i="30"/>
  <c r="J64" i="30"/>
  <c r="S63" i="30"/>
  <c r="AI111" i="5"/>
  <c r="J104" i="30"/>
  <c r="S103" i="30"/>
  <c r="AI123" i="5"/>
  <c r="AI125" i="5"/>
  <c r="AI127" i="5"/>
  <c r="S161" i="30"/>
  <c r="J162" i="30"/>
  <c r="S169" i="30"/>
  <c r="J170" i="30"/>
  <c r="AI142" i="5"/>
  <c r="S209" i="30"/>
  <c r="J210" i="30"/>
  <c r="AI154" i="5"/>
  <c r="S249" i="30"/>
  <c r="J250" i="30"/>
  <c r="G317" i="46"/>
  <c r="G193" i="46"/>
  <c r="G67" i="46"/>
  <c r="G255" i="46"/>
  <c r="G131" i="46"/>
  <c r="AG258" i="30"/>
  <c r="AI169" i="5"/>
  <c r="S299" i="30"/>
  <c r="J300" i="30"/>
  <c r="AI181" i="5"/>
  <c r="S339" i="30"/>
  <c r="J340" i="30"/>
  <c r="G258" i="46"/>
  <c r="G134" i="46"/>
  <c r="G320" i="46"/>
  <c r="G196" i="46"/>
  <c r="G70" i="46"/>
  <c r="AG42" i="31"/>
  <c r="F323" i="46"/>
  <c r="F199" i="46"/>
  <c r="F73" i="46"/>
  <c r="F261" i="46"/>
  <c r="F137" i="46"/>
  <c r="G264" i="46"/>
  <c r="G140" i="46"/>
  <c r="G326" i="46"/>
  <c r="G202" i="46"/>
  <c r="G76" i="46"/>
  <c r="AC41" i="27"/>
  <c r="F329" i="46"/>
  <c r="F205" i="46"/>
  <c r="F79" i="46"/>
  <c r="F267" i="46"/>
  <c r="F143" i="46"/>
  <c r="J45" i="28"/>
  <c r="S44" i="28"/>
  <c r="G270" i="46"/>
  <c r="G146" i="46"/>
  <c r="G332" i="46"/>
  <c r="G208" i="46"/>
  <c r="G82" i="46"/>
  <c r="AD46" i="29"/>
  <c r="AD43" i="12"/>
  <c r="S45" i="13"/>
  <c r="K8" i="14"/>
  <c r="S8" i="14" s="1"/>
  <c r="AD43" i="14"/>
  <c r="AD44" i="14"/>
  <c r="S46" i="16"/>
  <c r="J6" i="22"/>
  <c r="AC41" i="23"/>
  <c r="J6" i="27"/>
  <c r="S5" i="27"/>
  <c r="J6" i="28"/>
  <c r="S5" i="28"/>
  <c r="J6" i="30"/>
  <c r="S5" i="30"/>
  <c r="F212" i="46"/>
  <c r="F88" i="46"/>
  <c r="F274" i="46"/>
  <c r="F150" i="46"/>
  <c r="F24" i="46"/>
  <c r="F298" i="46"/>
  <c r="F174" i="46"/>
  <c r="F48" i="46"/>
  <c r="F236" i="46"/>
  <c r="F112" i="46"/>
  <c r="F304" i="46"/>
  <c r="F180" i="46"/>
  <c r="F54" i="46"/>
  <c r="F242" i="46"/>
  <c r="F118" i="46"/>
  <c r="G245" i="46"/>
  <c r="G121" i="46"/>
  <c r="G307" i="46"/>
  <c r="G183" i="46"/>
  <c r="G57" i="46"/>
  <c r="AC41" i="24"/>
  <c r="F310" i="46"/>
  <c r="F186" i="46"/>
  <c r="F60" i="46"/>
  <c r="F248" i="46"/>
  <c r="F124" i="46"/>
  <c r="J124" i="30"/>
  <c r="S123" i="30"/>
  <c r="S189" i="30"/>
  <c r="J190" i="30"/>
  <c r="S229" i="30"/>
  <c r="J230" i="30"/>
  <c r="AI160" i="5"/>
  <c r="S279" i="30"/>
  <c r="J280" i="30"/>
  <c r="AI175" i="5"/>
  <c r="S319" i="30"/>
  <c r="J320" i="30"/>
  <c r="F258" i="46"/>
  <c r="F134" i="46"/>
  <c r="F320" i="46"/>
  <c r="F196" i="46"/>
  <c r="F70" i="46"/>
  <c r="J46" i="31"/>
  <c r="S45" i="31"/>
  <c r="G323" i="46"/>
  <c r="G199" i="46"/>
  <c r="G73" i="46"/>
  <c r="G261" i="46"/>
  <c r="G137" i="46"/>
  <c r="AD46" i="32"/>
  <c r="F264" i="46"/>
  <c r="F140" i="46"/>
  <c r="F326" i="46"/>
  <c r="F202" i="46"/>
  <c r="F76" i="46"/>
  <c r="S44" i="27"/>
  <c r="J45" i="27"/>
  <c r="G329" i="46"/>
  <c r="G205" i="46"/>
  <c r="G79" i="46"/>
  <c r="G267" i="46"/>
  <c r="G143" i="46"/>
  <c r="AC41" i="28"/>
  <c r="F270" i="46"/>
  <c r="F146" i="46"/>
  <c r="F332" i="46"/>
  <c r="F208" i="46"/>
  <c r="F82" i="46"/>
  <c r="AD43" i="11"/>
  <c r="AD43" i="15"/>
  <c r="S43" i="16"/>
  <c r="AD45" i="16"/>
  <c r="AC41" i="21"/>
  <c r="I6" i="25"/>
  <c r="K8" i="25"/>
  <c r="S8" i="25" s="1"/>
  <c r="K69" i="33"/>
  <c r="H31" i="33" s="1"/>
  <c r="H136" i="33" s="1"/>
  <c r="H39" i="41"/>
  <c r="I38" i="41"/>
  <c r="K7" i="31"/>
  <c r="S7" i="31" s="1"/>
  <c r="H49" i="41"/>
  <c r="F10" i="53"/>
  <c r="F10" i="52"/>
  <c r="D51" i="59"/>
  <c r="D48" i="59"/>
  <c r="AA11" i="61"/>
  <c r="N11" i="61" s="1"/>
  <c r="I15" i="43" s="1"/>
  <c r="U15" i="61"/>
  <c r="M15" i="61" s="1"/>
  <c r="E19" i="43" s="1"/>
  <c r="E4" i="60"/>
  <c r="C4" i="60" s="1"/>
  <c r="D4" i="7" s="1"/>
  <c r="H38" i="41" l="1"/>
  <c r="I58" i="41"/>
  <c r="H58" i="41" s="1"/>
  <c r="J48" i="16"/>
  <c r="I47" i="16"/>
  <c r="S250" i="30"/>
  <c r="K251" i="30"/>
  <c r="S251" i="30" s="1"/>
  <c r="S162" i="30"/>
  <c r="K163" i="30"/>
  <c r="S163" i="30" s="1"/>
  <c r="K8" i="11"/>
  <c r="S8" i="11" s="1"/>
  <c r="S7" i="11"/>
  <c r="L56" i="19"/>
  <c r="U56" i="19" s="1"/>
  <c r="U55" i="19"/>
  <c r="S7" i="12"/>
  <c r="K8" i="12"/>
  <c r="S8" i="12" s="1"/>
  <c r="AK125" i="5"/>
  <c r="AK127" i="5"/>
  <c r="AK123" i="5"/>
  <c r="AG121" i="30" s="1"/>
  <c r="K46" i="21"/>
  <c r="S46" i="21" s="1"/>
  <c r="S45" i="21"/>
  <c r="S270" i="30"/>
  <c r="K271" i="30"/>
  <c r="S271" i="30" s="1"/>
  <c r="K46" i="23"/>
  <c r="S46" i="23" s="1"/>
  <c r="S45" i="23"/>
  <c r="S6" i="27"/>
  <c r="K7" i="27"/>
  <c r="S7" i="27" s="1"/>
  <c r="S310" i="30"/>
  <c r="K311" i="30"/>
  <c r="S311" i="30" s="1"/>
  <c r="S94" i="30"/>
  <c r="K95" i="30"/>
  <c r="S95" i="30" s="1"/>
  <c r="K141" i="30"/>
  <c r="S141" i="30" s="1"/>
  <c r="S140" i="30"/>
  <c r="K47" i="30"/>
  <c r="S47" i="30" s="1"/>
  <c r="S46" i="30"/>
  <c r="S350" i="30"/>
  <c r="K351" i="30"/>
  <c r="S351" i="30" s="1"/>
  <c r="K263" i="30"/>
  <c r="S263" i="30" s="1"/>
  <c r="S262" i="30"/>
  <c r="AK102" i="5"/>
  <c r="AK100" i="5"/>
  <c r="AG43" i="30" s="1"/>
  <c r="S74" i="30"/>
  <c r="K75" i="30"/>
  <c r="S75" i="30" s="1"/>
  <c r="K49" i="12"/>
  <c r="S49" i="12" s="1"/>
  <c r="S48" i="12"/>
  <c r="AK164" i="5"/>
  <c r="AG259" i="30" s="1"/>
  <c r="AK166" i="5"/>
  <c r="S180" i="30"/>
  <c r="K181" i="30"/>
  <c r="S181" i="30" s="1"/>
  <c r="S48" i="17"/>
  <c r="K49" i="17"/>
  <c r="S49" i="17" s="1"/>
  <c r="S230" i="30"/>
  <c r="K231" i="30"/>
  <c r="S231" i="30" s="1"/>
  <c r="K341" i="30"/>
  <c r="S341" i="30" s="1"/>
  <c r="S340" i="30"/>
  <c r="S54" i="30"/>
  <c r="K55" i="30"/>
  <c r="S55" i="30" s="1"/>
  <c r="K7" i="21"/>
  <c r="S7" i="21" s="1"/>
  <c r="S6" i="21"/>
  <c r="S6" i="30"/>
  <c r="K7" i="30"/>
  <c r="S7" i="30" s="1"/>
  <c r="S45" i="28"/>
  <c r="K46" i="28"/>
  <c r="S46" i="28" s="1"/>
  <c r="K65" i="30"/>
  <c r="S65" i="30" s="1"/>
  <c r="S64" i="30"/>
  <c r="S45" i="27"/>
  <c r="K46" i="27"/>
  <c r="S46" i="27" s="1"/>
  <c r="K321" i="30"/>
  <c r="S321" i="30" s="1"/>
  <c r="S320" i="30"/>
  <c r="S190" i="30"/>
  <c r="K191" i="30"/>
  <c r="S191" i="30" s="1"/>
  <c r="K171" i="30"/>
  <c r="S171" i="30" s="1"/>
  <c r="S170" i="30"/>
  <c r="K105" i="30"/>
  <c r="S105" i="30" s="1"/>
  <c r="S104" i="30"/>
  <c r="K201" i="30"/>
  <c r="S201" i="30" s="1"/>
  <c r="S200" i="30"/>
  <c r="S150" i="30"/>
  <c r="K151" i="30"/>
  <c r="S151" i="30" s="1"/>
  <c r="L24" i="62"/>
  <c r="H25" i="62"/>
  <c r="L25" i="62" s="1"/>
  <c r="J48" i="13"/>
  <c r="S47" i="13"/>
  <c r="S48" i="18"/>
  <c r="K49" i="18"/>
  <c r="S49" i="18" s="1"/>
  <c r="K7" i="24"/>
  <c r="S7" i="24" s="1"/>
  <c r="S6" i="24"/>
  <c r="S48" i="11"/>
  <c r="K49" i="11"/>
  <c r="S49" i="11" s="1"/>
  <c r="K8" i="13"/>
  <c r="S8" i="13" s="1"/>
  <c r="S7" i="13"/>
  <c r="K47" i="31"/>
  <c r="S47" i="31" s="1"/>
  <c r="S46" i="31"/>
  <c r="S330" i="30"/>
  <c r="K331" i="30"/>
  <c r="S331" i="30" s="1"/>
  <c r="K281" i="30"/>
  <c r="S281" i="30" s="1"/>
  <c r="S280" i="30"/>
  <c r="K125" i="30"/>
  <c r="S125" i="30" s="1"/>
  <c r="S124" i="30"/>
  <c r="I31" i="33"/>
  <c r="I136" i="33" s="1"/>
  <c r="K7" i="28"/>
  <c r="S7" i="28" s="1"/>
  <c r="S6" i="28"/>
  <c r="S6" i="22"/>
  <c r="K7" i="22"/>
  <c r="S7" i="22" s="1"/>
  <c r="K301" i="30"/>
  <c r="S301" i="30" s="1"/>
  <c r="S300" i="30"/>
  <c r="S210" i="30"/>
  <c r="K211" i="30"/>
  <c r="S211" i="30" s="1"/>
  <c r="S45" i="24"/>
  <c r="K46" i="24"/>
  <c r="S46" i="24" s="1"/>
  <c r="S132" i="30"/>
  <c r="K133" i="30"/>
  <c r="S133" i="30" s="1"/>
  <c r="S290" i="30"/>
  <c r="K291" i="30"/>
  <c r="S291" i="30" s="1"/>
  <c r="K241" i="30"/>
  <c r="S241" i="30" s="1"/>
  <c r="S240" i="30"/>
  <c r="K85" i="30"/>
  <c r="S85" i="30" s="1"/>
  <c r="S84" i="30"/>
  <c r="S6" i="23"/>
  <c r="K7" i="23"/>
  <c r="S7" i="23" s="1"/>
  <c r="K8" i="15"/>
  <c r="S8" i="15" s="1"/>
  <c r="S7" i="15"/>
  <c r="D49" i="7"/>
  <c r="D46" i="7"/>
  <c r="D48" i="7"/>
  <c r="D47" i="7"/>
  <c r="D51" i="7"/>
  <c r="S47" i="14"/>
  <c r="J48" i="14"/>
  <c r="S114" i="30"/>
  <c r="K115" i="30"/>
  <c r="S115" i="30" s="1"/>
  <c r="K46" i="22"/>
  <c r="S46" i="22" s="1"/>
  <c r="S45" i="22"/>
  <c r="K221" i="30"/>
  <c r="S221" i="30" s="1"/>
  <c r="S220" i="30"/>
  <c r="S48" i="15"/>
  <c r="K49" i="15"/>
  <c r="S49" i="15" s="1"/>
  <c r="K49" i="14" l="1"/>
  <c r="S49" i="14" s="1"/>
  <c r="S48" i="14"/>
  <c r="S48" i="16"/>
  <c r="K49" i="16"/>
  <c r="S49" i="16" s="1"/>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<sst xmlns="http://schemas.openxmlformats.org/spreadsheetml/2006/main" count="13129" uniqueCount="2934">
  <si>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</si>
  <si>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</si>
  <si>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</si>
  <si>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</si>
  <si>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</si>
  <si>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</si>
  <si>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</si>
  <si>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</si>
  <si>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</si>
  <si>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</si>
  <si>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</si>
  <si>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</si>
  <si>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</si>
  <si>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</si>
  <si>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</si>
  <si>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</si>
  <si>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</si>
  <si>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</si>
  <si>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</si>
  <si>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</si>
  <si>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</si>
  <si>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</si>
  <si>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</si>
  <si>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</si>
  <si>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</si>
  <si>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</si>
  <si>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</si>
  <si>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</si>
  <si>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</si>
  <si>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</si>
  <si>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</si>
  <si>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</si>
  <si>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</si>
  <si>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</si>
  <si>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</si>
  <si>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</si>
  <si>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</si>
  <si>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51/8</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</si>
  <si>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</si>
  <si>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</si>
  <si>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</si>
  <si>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https://npa.gov-murman.ru/bitrix/components/b1team/govmurman.element.file/download.php?ID=508464&amp;FID=750753</t>
  </si>
  <si>
    <t>Открывается, если Тип отчёта "изменения в раскрытой ранее информации"</t>
  </si>
  <si>
    <t>8/6</t>
  </si>
  <si>
    <t>Наименование органа регулирования, принявшего решение об изменении тарифов</t>
  </si>
  <si>
    <t>https://npa.gov-murman.ru/bitrix/components/b1team/govmurman.element.file/download.php?ID=518761&amp;FID=765125</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</si>
  <si>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</si>
  <si>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</si>
  <si>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</si>
  <si>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</si>
  <si>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</si>
  <si>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</si>
  <si>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</si>
  <si>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</si>
  <si>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</si>
  <si>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</si>
  <si>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</si>
  <si>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</si>
  <si>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</si>
  <si>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</si>
  <si>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</si>
  <si>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</si>
  <si>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</si>
  <si>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</si>
  <si>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</si>
  <si>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</si>
  <si>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</si>
  <si>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</si>
  <si>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</si>
  <si>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</si>
  <si>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</si>
  <si>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</si>
  <si>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</si>
  <si>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</si>
  <si>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</si>
  <si>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</si>
  <si>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</si>
  <si>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</si>
  <si>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</si>
  <si>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</si>
  <si>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</si>
  <si>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</si>
  <si>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</si>
  <si>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</si>
  <si>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</si>
  <si>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</si>
  <si>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</si>
  <si>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</si>
  <si>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</si>
  <si>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</si>
  <si>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</si>
  <si>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</si>
  <si>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</si>
  <si>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</si>
  <si>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</si>
  <si>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</si>
  <si>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</si>
  <si>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</si>
  <si>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</si>
  <si>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город-герой Мурманск</t>
  </si>
  <si>
    <t>47701000</t>
  </si>
  <si>
    <t>Добавить МО</t>
  </si>
  <si>
    <t>2</t>
  </si>
  <si>
    <t>×</t>
  </si>
  <si>
    <t>ter_55</t>
  </si>
  <si>
    <t>14</t>
  </si>
  <si>
    <t>Кольский муниципальный район</t>
  </si>
  <si>
    <t>Поселок Верхнетуломский</t>
  </si>
  <si>
    <t>47605154</t>
  </si>
  <si>
    <t>ter_56</t>
  </si>
  <si>
    <t>15</t>
  </si>
  <si>
    <t>Поселок Кильдинстрой</t>
  </si>
  <si>
    <t>47605158</t>
  </si>
  <si>
    <t>ter_57</t>
  </si>
  <si>
    <t>23</t>
  </si>
  <si>
    <t>сельское поселение Ура-Губа</t>
  </si>
  <si>
    <t>47605407</t>
  </si>
  <si>
    <t>5</t>
  </si>
  <si>
    <t>ter_58</t>
  </si>
  <si>
    <t>26</t>
  </si>
  <si>
    <t>Ловозерский муниципальный район</t>
  </si>
  <si>
    <t>сельское поселение Ловозеро</t>
  </si>
  <si>
    <t>47610401</t>
  </si>
  <si>
    <t>ter_59</t>
  </si>
  <si>
    <t>34</t>
  </si>
  <si>
    <t>город Оленегорск</t>
  </si>
  <si>
    <t>47526000</t>
  </si>
  <si>
    <t>ter_60</t>
  </si>
  <si>
    <t>10</t>
  </si>
  <si>
    <t>Кандалакшский муниципальный район</t>
  </si>
  <si>
    <t>Поселок Зеленоборский</t>
  </si>
  <si>
    <t>47608158</t>
  </si>
  <si>
    <t>8</t>
  </si>
  <si>
    <t>ter_61</t>
  </si>
  <si>
    <t>ЗАТО город Североморск</t>
  </si>
  <si>
    <t>47730000</t>
  </si>
  <si>
    <t>9</t>
  </si>
  <si>
    <t>ter_62</t>
  </si>
  <si>
    <t>11</t>
  </si>
  <si>
    <t>Ковдорский муниципальный округ</t>
  </si>
  <si>
    <t>47517000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</si>
  <si>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</si>
  <si>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</si>
  <si>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</si>
  <si>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</si>
  <si>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</si>
  <si>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</si>
  <si>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</si>
  <si>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</si>
  <si>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</si>
  <si>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</si>
  <si>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</si>
  <si>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</si>
  <si>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</si>
  <si>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</si>
  <si>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</si>
  <si>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</si>
  <si>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</si>
  <si>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</si>
  <si>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</si>
  <si>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</si>
  <si>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</si>
  <si>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</si>
  <si>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</si>
  <si>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</si>
  <si>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</si>
  <si>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</si>
  <si>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</si>
  <si>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</si>
  <si>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</si>
  <si>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</si>
  <si>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</si>
  <si>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</si>
  <si>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</si>
  <si>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</si>
  <si>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</si>
  <si>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</si>
  <si>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</si>
  <si>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</si>
  <si>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</si>
  <si>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</si>
  <si>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</si>
  <si>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</si>
  <si>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</si>
  <si>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</si>
  <si>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</si>
  <si>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</si>
  <si>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</si>
  <si>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</si>
  <si>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</si>
  <si>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</si>
  <si>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</si>
  <si>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</si>
  <si>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</si>
  <si>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</si>
  <si>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</si>
  <si>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</si>
  <si>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</si>
  <si>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</si>
  <si>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</si>
  <si>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</si>
  <si>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</si>
  <si>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</si>
  <si>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</si>
  <si>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</si>
  <si>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</si>
  <si>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</si>
  <si>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</si>
  <si>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</si>
  <si>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</si>
  <si>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</si>
  <si>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</si>
  <si>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</si>
  <si>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</si>
  <si>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</si>
  <si>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</si>
  <si>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</si>
  <si>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</si>
  <si>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</si>
  <si>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</si>
  <si>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</si>
  <si>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</si>
  <si>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</si>
  <si>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</si>
  <si>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</si>
  <si>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</si>
  <si>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</si>
  <si>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</si>
  <si>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</si>
  <si>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</si>
  <si>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</si>
  <si>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</si>
  <si>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</si>
  <si>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</si>
  <si>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</si>
  <si>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</si>
  <si>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</si>
  <si>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</si>
  <si>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</si>
  <si>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</si>
  <si>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</si>
  <si>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</si>
  <si>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</si>
  <si>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</si>
  <si>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</si>
  <si>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</si>
  <si>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</si>
  <si>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</si>
  <si>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</si>
  <si>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</si>
  <si>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</si>
  <si>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</si>
  <si>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</si>
  <si>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</si>
  <si>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</si>
  <si>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</si>
  <si>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</si>
  <si>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</si>
  <si>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</si>
  <si>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</si>
  <si>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</si>
  <si>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</si>
  <si>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</si>
  <si>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</si>
  <si>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</si>
  <si>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</si>
  <si>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</si>
  <si>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</si>
  <si>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</si>
  <si>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</si>
  <si>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</si>
  <si>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</si>
  <si>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</si>
  <si>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</si>
  <si>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</si>
  <si>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</si>
  <si>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</si>
  <si>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</si>
  <si>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</si>
  <si>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поставляемую группе потребителей "население"</t>
  </si>
  <si>
    <t>городской округ город-герой Мурманск (р-н Росляково)</t>
  </si>
  <si>
    <t>Тарифы указываются с учетом НДС в целях реализации пункта 6 статьи 168 Налогового кодекса Российской Федерации (часть вторая).</t>
  </si>
  <si>
    <t>4189706</t>
  </si>
  <si>
    <t>pIns_PT_VTAR_A_HOTVSNA</t>
  </si>
  <si>
    <t>pt_ntar_14</t>
  </si>
  <si>
    <t>pt_ter_14</t>
  </si>
  <si>
    <t>pt_cs_14</t>
  </si>
  <si>
    <t>городской округ город-герой Мурманск (потребители котельной ул. Фестивальная)</t>
  </si>
  <si>
    <t>pt_cs_30</t>
  </si>
  <si>
    <t>pt_ist_te_30</t>
  </si>
  <si>
    <t>Добавить централизованную систему для дифференциации</t>
  </si>
  <si>
    <t>pt_ter_30</t>
  </si>
  <si>
    <t>pt_cs_31</t>
  </si>
  <si>
    <t>pt_ist_te_31</t>
  </si>
  <si>
    <t>н.п. Шонгуй</t>
  </si>
  <si>
    <t>pt_ter_31</t>
  </si>
  <si>
    <t>pt_cs_32</t>
  </si>
  <si>
    <t>pt_ist_te_32</t>
  </si>
  <si>
    <t>pt_ter_32</t>
  </si>
  <si>
    <t>pt_cs_33</t>
  </si>
  <si>
    <t>pt_ist_te_33</t>
  </si>
  <si>
    <t>с.п. Ловозеро</t>
  </si>
  <si>
    <t>pt_ter_33</t>
  </si>
  <si>
    <t>pt_cs_34</t>
  </si>
  <si>
    <t>pt_ist_te_34</t>
  </si>
  <si>
    <t>н.п. Высокий</t>
  </si>
  <si>
    <t>pt_ter_34</t>
  </si>
  <si>
    <t>pt_cs_35</t>
  </si>
  <si>
    <t>pt_ist_te_35</t>
  </si>
  <si>
    <t>pt_ter_35</t>
  </si>
  <si>
    <t>pt_cs_36</t>
  </si>
  <si>
    <t>pt_ist_te_36</t>
  </si>
  <si>
    <t>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t>
  </si>
  <si>
    <t>pt_ter_36</t>
  </si>
  <si>
    <t>pt_cs_37</t>
  </si>
  <si>
    <t>pt_ist_te_37</t>
  </si>
  <si>
    <t>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t>
  </si>
  <si>
    <t>pt_cs_38</t>
  </si>
  <si>
    <t>pt_ist_te_38</t>
  </si>
  <si>
    <t>Городской округ закрытое административно-территориальное образование город Североморск Мурманской области (н.п. Щукозеро ул. Приозерная, 1, 3)</t>
  </si>
  <si>
    <t>pt_cs_39</t>
  </si>
  <si>
    <t>pt_ist_te_39</t>
  </si>
  <si>
    <t>н.п. Лейпи</t>
  </si>
  <si>
    <t>pt_ter_37</t>
  </si>
  <si>
    <t>pt_cs_40</t>
  </si>
  <si>
    <t>pt_ist_te_40</t>
  </si>
  <si>
    <t>Добавить территорию для дифференциации</t>
  </si>
  <si>
    <t>Тариф на горячую воду в закрытой системе горячего водоснабжения, поставляемую потребителям</t>
  </si>
  <si>
    <t>Тарифы установлены без учета НДС.</t>
  </si>
  <si>
    <t>pt_ntar_26</t>
  </si>
  <si>
    <t>pt_ter_38</t>
  </si>
  <si>
    <t>pt_cs_41</t>
  </si>
  <si>
    <t>pt_ist_te_41</t>
  </si>
  <si>
    <t>pt_cs_42</t>
  </si>
  <si>
    <t>pt_ist_te_42</t>
  </si>
  <si>
    <t>pt_ter_39</t>
  </si>
  <si>
    <t>pt_cs_43</t>
  </si>
  <si>
    <t>pt_ist_te_43</t>
  </si>
  <si>
    <t>pt_ter_40</t>
  </si>
  <si>
    <t>pt_cs_44</t>
  </si>
  <si>
    <t>pt_ist_te_44</t>
  </si>
  <si>
    <t>pt_ter_41</t>
  </si>
  <si>
    <t>pt_cs_45</t>
  </si>
  <si>
    <t>pt_ist_te_45</t>
  </si>
  <si>
    <t>pt_ter_42</t>
  </si>
  <si>
    <t>pt_cs_46</t>
  </si>
  <si>
    <t>pt_ist_te_46</t>
  </si>
  <si>
    <t>pt_ter_43</t>
  </si>
  <si>
    <t>pt_cs_47</t>
  </si>
  <si>
    <t>pt_ist_te_47</t>
  </si>
  <si>
    <t>pt_ter_44</t>
  </si>
  <si>
    <t>pt_cs_48</t>
  </si>
  <si>
    <t>pt_ist_te_48</t>
  </si>
  <si>
    <t>pt_ter_45</t>
  </si>
  <si>
    <t>pt_cs_49</t>
  </si>
  <si>
    <t>pt_ist_te_49</t>
  </si>
  <si>
    <t>pt_ter_46</t>
  </si>
  <si>
    <t>pt_cs_50</t>
  </si>
  <si>
    <t>pt_ist_te_50</t>
  </si>
  <si>
    <t>Тариф на горячую воду в закрытой системе горячего водоснабжения, поставляемую группе потребителей "потребители (кроме населения)"</t>
  </si>
  <si>
    <t>pt_ntar_27</t>
  </si>
  <si>
    <t>pt_ter_47</t>
  </si>
  <si>
    <t>pt_cs_51</t>
  </si>
  <si>
    <t>pt_ist_te_51</t>
  </si>
  <si>
    <t>pt_cs_52</t>
  </si>
  <si>
    <t>pt_ist_te_52</t>
  </si>
  <si>
    <t>pt_ter_48</t>
  </si>
  <si>
    <t>pt_cs_53</t>
  </si>
  <si>
    <t>pt_ist_te_53</t>
  </si>
  <si>
    <t>pt_ter_49</t>
  </si>
  <si>
    <t>pt_cs_54</t>
  </si>
  <si>
    <t>pt_ist_te_54</t>
  </si>
  <si>
    <t>pt_ter_50</t>
  </si>
  <si>
    <t>pt_cs_55</t>
  </si>
  <si>
    <t>pt_ist_te_55</t>
  </si>
  <si>
    <t>pt_ter_51</t>
  </si>
  <si>
    <t>pt_cs_56</t>
  </si>
  <si>
    <t>pt_ist_te_56</t>
  </si>
  <si>
    <t>pt_ter_52</t>
  </si>
  <si>
    <t>pt_cs_57</t>
  </si>
  <si>
    <t>pt_ist_te_57</t>
  </si>
  <si>
    <t>pt_ter_53</t>
  </si>
  <si>
    <t>pt_cs_58</t>
  </si>
  <si>
    <t>pt_ist_te_58</t>
  </si>
  <si>
    <t>pt_ter_54</t>
  </si>
  <si>
    <t>pt_cs_59</t>
  </si>
  <si>
    <t>pt_ist_te_59</t>
  </si>
  <si>
    <t>pt_ter_55</t>
  </si>
  <si>
    <t>pt_cs_60</t>
  </si>
  <si>
    <t>pt_ist_te_60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</si>
  <si>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</si>
  <si>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</si>
  <si>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</si>
  <si>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</si>
  <si>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</si>
  <si>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</si>
  <si>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</si>
  <si>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</si>
  <si>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</si>
  <si>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</si>
  <si>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</si>
  <si>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</si>
  <si>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</si>
  <si>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</si>
  <si>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</si>
  <si>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</si>
  <si>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</si>
  <si>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</si>
  <si>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</si>
  <si>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</si>
  <si>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</si>
  <si>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</si>
  <si>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</si>
  <si>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</si>
  <si>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</si>
  <si>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</si>
  <si>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</si>
  <si>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</si>
  <si>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</si>
  <si>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</si>
  <si>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</si>
  <si>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</si>
  <si>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</si>
  <si>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</si>
  <si>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</si>
  <si>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</si>
  <si>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</si>
  <si>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</si>
  <si>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</si>
  <si>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</si>
  <si>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</si>
  <si>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</si>
  <si>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</si>
  <si>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</si>
  <si>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</si>
  <si>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</si>
  <si>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</si>
  <si>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</si>
  <si>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</si>
  <si>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</si>
  <si>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</si>
  <si>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</si>
  <si>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</si>
  <si>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</si>
  <si>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</si>
  <si>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</si>
  <si>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</si>
  <si>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</si>
  <si>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</si>
  <si>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</si>
  <si>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</si>
  <si>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</si>
  <si>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</si>
  <si>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</si>
  <si>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</si>
  <si>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</si>
  <si>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</si>
  <si>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</si>
  <si>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</si>
  <si>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</si>
  <si>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</si>
  <si>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</si>
  <si>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</si>
  <si>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</si>
  <si>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</si>
  <si>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</si>
  <si>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</si>
  <si>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</si>
  <si>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</si>
  <si>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</si>
  <si>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</si>
  <si>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</si>
  <si>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</si>
  <si>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</si>
  <si>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</si>
  <si>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</si>
  <si>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</si>
  <si>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</si>
  <si>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</si>
  <si>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</si>
  <si>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</si>
  <si>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</si>
  <si>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</si>
  <si>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</si>
  <si>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</si>
  <si>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</si>
  <si>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</si>
  <si>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</si>
  <si>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</si>
  <si>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</si>
  <si>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</si>
  <si>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</si>
  <si>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</si>
  <si>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</si>
  <si>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</si>
  <si>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</si>
  <si>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</si>
  <si>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</si>
  <si>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</si>
  <si>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</si>
  <si>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</si>
  <si>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</si>
  <si>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</si>
  <si>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</si>
  <si>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</si>
  <si>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</si>
  <si>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</si>
  <si>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</si>
  <si>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</si>
  <si>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</si>
  <si>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</si>
  <si>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</si>
  <si>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</si>
  <si>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</si>
  <si>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</si>
  <si>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</si>
  <si>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</si>
  <si>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</si>
  <si>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</si>
  <si>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</si>
  <si>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</si>
  <si>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</si>
  <si>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</si>
  <si>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</si>
  <si>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</si>
  <si>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</si>
  <si>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</si>
  <si>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</si>
  <si>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</si>
  <si>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</si>
  <si>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</si>
  <si>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</si>
  <si>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</si>
  <si>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</si>
  <si>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</si>
  <si>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</si>
  <si>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</si>
  <si>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</si>
  <si>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</si>
  <si>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</si>
  <si>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</si>
  <si>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</si>
  <si>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</si>
  <si>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</si>
  <si>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</si>
  <si>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</si>
  <si>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</si>
  <si>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</si>
  <si>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</si>
  <si>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</si>
  <si>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</si>
  <si>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</si>
  <si>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</si>
  <si>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</si>
  <si>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</si>
  <si>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</si>
  <si>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</si>
  <si>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</si>
  <si>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</si>
  <si>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</si>
  <si>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</si>
  <si>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</si>
  <si>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</si>
  <si>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</si>
  <si>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</si>
  <si>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</si>
  <si>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</si>
  <si>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</si>
  <si>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</si>
  <si>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</si>
  <si>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</si>
  <si>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</si>
  <si>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</si>
  <si>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</si>
  <si>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</si>
  <si>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</si>
  <si>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</si>
  <si>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</si>
  <si>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</si>
  <si>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</si>
  <si>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</si>
  <si>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</si>
  <si>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</si>
  <si>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</si>
  <si>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</si>
  <si>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</si>
  <si>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</si>
  <si>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</si>
  <si>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</si>
  <si>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</si>
  <si>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</si>
  <si>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</si>
  <si>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</si>
  <si>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</si>
  <si>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</si>
  <si>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</si>
  <si>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</si>
  <si>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</si>
  <si>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</si>
  <si>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</si>
  <si>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</si>
  <si>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</si>
  <si>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</si>
  <si>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</si>
  <si>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</si>
  <si>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</si>
  <si>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</si>
  <si>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</si>
  <si>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</si>
  <si>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</si>
  <si>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</si>
  <si>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</si>
  <si>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</si>
  <si>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</si>
  <si>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</si>
  <si>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</si>
  <si>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</si>
  <si>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</si>
  <si>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</si>
  <si>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</si>
  <si>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</si>
  <si>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</si>
  <si>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</si>
  <si>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</si>
  <si>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</si>
  <si>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</si>
  <si>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</si>
  <si>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</si>
  <si>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</si>
  <si>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</si>
  <si>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</si>
  <si>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</si>
  <si>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</si>
  <si>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</si>
  <si>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</si>
  <si>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</si>
  <si>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</si>
  <si>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</si>
  <si>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</si>
  <si>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</si>
  <si>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</si>
  <si>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</si>
  <si>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</si>
  <si>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</si>
  <si>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</si>
  <si>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</si>
  <si>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</si>
  <si>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</si>
  <si>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</si>
  <si>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</si>
  <si>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</si>
  <si>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</si>
  <si>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</si>
  <si>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</si>
  <si>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</si>
  <si>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</si>
  <si>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</si>
  <si>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</si>
  <si>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</si>
  <si>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</si>
  <si>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</si>
  <si>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</si>
  <si>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</si>
  <si>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</si>
  <si>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</si>
  <si>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</si>
  <si>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</si>
  <si>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</si>
  <si>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</si>
  <si>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</si>
  <si>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</si>
  <si>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</si>
  <si>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</si>
  <si>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</si>
  <si>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</si>
  <si>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</si>
  <si>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</si>
  <si>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</si>
  <si>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</si>
  <si>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прочие</t>
  </si>
  <si>
    <t>30.06.2024.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</si>
  <si>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</si>
  <si>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</si>
  <si>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</si>
  <si>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</si>
  <si>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</si>
  <si>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</si>
  <si>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</si>
  <si>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</si>
  <si>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</si>
  <si>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</si>
  <si>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</si>
  <si>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</si>
  <si>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</si>
  <si>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</si>
  <si>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</si>
  <si>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</si>
  <si>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</si>
  <si>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</si>
  <si>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</si>
  <si>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</si>
  <si>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</si>
  <si>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</si>
  <si>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</si>
  <si>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</si>
  <si>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</si>
  <si>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</si>
  <si>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</si>
  <si>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</si>
  <si>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</si>
  <si>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</si>
  <si>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</si>
  <si>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</si>
  <si>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</si>
  <si>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</si>
  <si>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</si>
  <si>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</si>
  <si>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</si>
  <si>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</si>
  <si>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</si>
  <si>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</si>
  <si>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</si>
  <si>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</si>
  <si>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</si>
  <si>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</si>
  <si>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</si>
  <si>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</si>
  <si>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</si>
  <si>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</si>
  <si>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</si>
  <si>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</si>
  <si>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</si>
  <si>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</si>
  <si>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</si>
  <si>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</si>
  <si>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</si>
  <si>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</si>
  <si>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</si>
  <si>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</si>
  <si>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</si>
  <si>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</si>
  <si>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</si>
  <si>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</si>
  <si>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</si>
  <si>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</si>
  <si>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</si>
  <si>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</si>
  <si>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</si>
  <si>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</si>
  <si>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</si>
  <si>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</si>
  <si>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</si>
  <si>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</si>
  <si>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</si>
  <si>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</si>
  <si>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</si>
  <si>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</si>
  <si>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</si>
  <si>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</si>
  <si>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</si>
  <si>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</si>
  <si>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</si>
  <si>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</si>
  <si>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</si>
  <si>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</si>
  <si>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</si>
  <si>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</si>
  <si>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</si>
  <si>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</si>
  <si>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</si>
  <si>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</si>
  <si>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</si>
  <si>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</si>
  <si>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</si>
  <si>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</si>
  <si>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</si>
  <si>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</si>
  <si>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</si>
  <si>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</si>
  <si>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</si>
  <si>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</si>
  <si>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</si>
  <si>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</si>
  <si>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</si>
  <si>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</si>
  <si>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</si>
  <si>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</si>
  <si>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</si>
  <si>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</si>
  <si>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</si>
  <si>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</si>
  <si>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</si>
  <si>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</si>
  <si>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</si>
  <si>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</si>
  <si>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</si>
  <si>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</si>
  <si>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</si>
  <si>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</si>
  <si>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</si>
  <si>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</si>
  <si>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</si>
  <si>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</si>
  <si>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</si>
  <si>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</si>
  <si>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</si>
  <si>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</si>
  <si>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</si>
  <si>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</si>
  <si>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</si>
  <si>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</si>
  <si>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</si>
  <si>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</si>
  <si>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</si>
  <si>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</si>
  <si>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</si>
  <si>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</si>
  <si>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</si>
  <si>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</si>
  <si>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</si>
  <si>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</si>
  <si>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</si>
  <si>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</si>
  <si>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</si>
  <si>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</si>
  <si>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</si>
  <si>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</si>
  <si>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</si>
  <si>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</si>
  <si>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</si>
  <si>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</si>
  <si>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</si>
  <si>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</si>
  <si>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</si>
  <si>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</si>
  <si>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</si>
  <si>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</si>
  <si>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</si>
  <si>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</si>
  <si>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</si>
  <si>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</si>
  <si>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</si>
  <si>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</si>
  <si>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</si>
  <si>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</si>
  <si>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</si>
  <si>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</si>
  <si>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</si>
  <si>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</si>
  <si>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</si>
  <si>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</si>
  <si>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</si>
  <si>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</si>
  <si>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</si>
  <si>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</si>
  <si>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</si>
  <si>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</si>
  <si>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</si>
  <si>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</si>
  <si>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</si>
  <si>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</si>
  <si>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</si>
  <si>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</si>
  <si>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</si>
  <si>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</si>
  <si>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</si>
  <si>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</si>
  <si>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</si>
  <si>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</si>
  <si>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</si>
  <si>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</si>
  <si>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</si>
  <si>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</si>
  <si>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</si>
  <si>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</si>
  <si>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</si>
  <si>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</si>
  <si>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</si>
  <si>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</si>
  <si>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</si>
  <si>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</si>
  <si>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</si>
  <si>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</si>
  <si>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</si>
  <si>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</si>
  <si>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</si>
  <si>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</si>
  <si>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</si>
  <si>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</si>
  <si>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</si>
  <si>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</si>
  <si>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</si>
  <si>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</si>
  <si>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</si>
  <si>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</si>
  <si>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</si>
  <si>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</si>
  <si>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</si>
  <si>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</si>
  <si>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</si>
  <si>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</si>
  <si>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</si>
  <si>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</si>
  <si>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</si>
  <si>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</si>
  <si>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</si>
  <si>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</si>
  <si>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</si>
  <si>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</si>
  <si>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</si>
  <si>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</si>
  <si>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</si>
  <si>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</si>
  <si>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</si>
  <si>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</si>
  <si>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</si>
  <si>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</si>
  <si>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</si>
  <si>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</si>
  <si>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</si>
  <si>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</si>
  <si>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</si>
  <si>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</si>
  <si>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</si>
  <si>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</si>
  <si>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</si>
  <si>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</si>
  <si>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</si>
  <si>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</si>
  <si>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</si>
  <si>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</si>
  <si>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</si>
  <si>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</si>
  <si>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</si>
  <si>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</si>
  <si>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</si>
  <si>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</si>
  <si>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</si>
  <si>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</si>
  <si>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</si>
  <si>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</si>
  <si>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</si>
  <si>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</si>
  <si>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</si>
  <si>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</si>
  <si>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</si>
  <si>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</si>
  <si>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</si>
  <si>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</si>
  <si>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</si>
  <si>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</si>
  <si>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</si>
  <si>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</si>
  <si>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</si>
  <si>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</si>
  <si>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</si>
  <si>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</si>
  <si>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</si>
  <si>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</si>
  <si>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</si>
  <si>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</si>
  <si>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</si>
  <si>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</si>
  <si>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</si>
  <si>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</si>
  <si>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</si>
  <si>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</si>
  <si>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</si>
  <si>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</si>
  <si>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</si>
  <si>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</si>
  <si>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</si>
  <si>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</si>
  <si>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</si>
  <si>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</si>
  <si>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</si>
  <si>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</si>
  <si>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</si>
  <si>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</si>
  <si>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</si>
  <si>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</si>
  <si>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</si>
  <si>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</si>
  <si>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</si>
  <si>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</si>
  <si>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</si>
  <si>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</si>
  <si>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</si>
  <si>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</si>
  <si>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</si>
  <si>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</si>
  <si>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</si>
  <si>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</si>
  <si>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</si>
  <si>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</si>
  <si>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</si>
  <si>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</si>
  <si>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</si>
  <si>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</si>
  <si>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</si>
  <si>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</si>
  <si>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</si>
  <si>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</si>
  <si>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</si>
  <si>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</si>
  <si>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</si>
  <si>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</si>
  <si>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</si>
  <si>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</si>
  <si>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</si>
  <si>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</si>
  <si>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</si>
  <si>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</si>
  <si>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</si>
  <si>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</si>
  <si>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</si>
  <si>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</si>
  <si>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</si>
  <si>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</si>
  <si>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</si>
  <si>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</si>
  <si>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</si>
  <si>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</si>
  <si>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</si>
  <si>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</si>
  <si>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</si>
  <si>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</si>
  <si>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</si>
  <si>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</si>
  <si>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</si>
  <si>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</si>
  <si>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</si>
  <si>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</si>
  <si>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</si>
  <si>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</si>
  <si>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</si>
  <si>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</si>
  <si>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</si>
  <si>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</si>
  <si>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</si>
  <si>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</si>
  <si>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</si>
  <si>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</si>
  <si>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</si>
  <si>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</si>
  <si>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</si>
  <si>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</si>
  <si>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</si>
  <si>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</si>
  <si>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</si>
  <si>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</si>
  <si>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</si>
  <si>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</si>
  <si>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</si>
  <si>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</si>
  <si>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</si>
  <si>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</si>
  <si>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</si>
  <si>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</si>
  <si>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</si>
  <si>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</si>
  <si>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</si>
  <si>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</si>
  <si>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</si>
  <si>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</si>
  <si>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</si>
  <si>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</si>
  <si>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</si>
  <si>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</si>
  <si>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</si>
  <si>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</si>
  <si>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</si>
  <si>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</si>
  <si>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</si>
  <si>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</si>
  <si>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</si>
  <si>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</si>
  <si>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</si>
  <si>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</si>
  <si>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</si>
  <si>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</si>
  <si>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</si>
  <si>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</si>
  <si>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</si>
  <si>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</si>
  <si>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</si>
  <si>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</si>
  <si>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</si>
  <si>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</si>
  <si>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</si>
  <si>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</si>
  <si>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</si>
  <si>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</si>
  <si>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</si>
  <si>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</si>
  <si>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</si>
  <si>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</si>
  <si>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</si>
  <si>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</si>
  <si>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</si>
  <si>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</si>
  <si>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</si>
  <si>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</si>
  <si>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</si>
  <si>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</si>
  <si>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</si>
  <si>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</si>
  <si>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</si>
  <si>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</si>
  <si>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</si>
  <si>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</si>
  <si>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</si>
  <si>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</si>
  <si>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</si>
  <si>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</si>
  <si>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</si>
  <si>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</si>
  <si>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</si>
  <si>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</si>
  <si>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</si>
  <si>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</si>
  <si>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</si>
  <si>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</si>
  <si>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</si>
  <si>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</si>
  <si>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</si>
  <si>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</si>
  <si>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</si>
  <si>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</si>
  <si>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</si>
  <si>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</si>
  <si>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</si>
  <si>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</si>
  <si>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</si>
  <si>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</si>
  <si>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</si>
  <si>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</si>
  <si>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</si>
  <si>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</si>
  <si>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</si>
  <si>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</si>
  <si>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</si>
  <si>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</si>
  <si>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</si>
  <si>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</si>
  <si>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</si>
  <si>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</si>
  <si>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</si>
  <si>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</si>
  <si>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</si>
  <si>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</si>
  <si>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</si>
  <si>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</si>
  <si>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</si>
  <si>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</si>
  <si>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</si>
  <si>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</si>
  <si>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</si>
  <si>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</si>
  <si>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</si>
  <si>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</si>
  <si>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</si>
  <si>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</si>
  <si>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</si>
  <si>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</si>
  <si>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</si>
  <si>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</si>
  <si>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</si>
  <si>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</si>
  <si>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</si>
  <si>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</si>
  <si>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</si>
  <si>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</si>
  <si>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</si>
  <si>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</si>
  <si>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</si>
  <si>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</si>
  <si>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</si>
  <si>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</si>
  <si>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</si>
  <si>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</si>
  <si>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</si>
  <si>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</si>
  <si>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</si>
  <si>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</si>
  <si>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</si>
  <si>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</si>
  <si>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</si>
  <si>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</si>
  <si>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</si>
  <si>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</si>
  <si>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</si>
  <si>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</si>
  <si>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</si>
  <si>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</si>
  <si>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</si>
  <si>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</si>
  <si>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</si>
  <si>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</si>
  <si>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</si>
  <si>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</si>
  <si>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</si>
  <si>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</si>
  <si>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</si>
  <si>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</si>
  <si>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</si>
  <si>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</si>
  <si>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</si>
  <si>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</si>
  <si>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</si>
  <si>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</si>
  <si>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</si>
  <si>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</si>
  <si>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</si>
  <si>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</si>
  <si>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</si>
  <si>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</si>
  <si>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</si>
  <si>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</si>
  <si>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</si>
  <si>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</si>
  <si>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</si>
  <si>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</si>
  <si>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</si>
  <si>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</si>
  <si>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</si>
  <si>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</si>
  <si>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</si>
  <si>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</si>
  <si>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</si>
  <si>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</si>
  <si>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</si>
  <si>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</si>
  <si>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</si>
  <si>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</si>
  <si>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</si>
  <si>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</si>
  <si>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</si>
  <si>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</si>
  <si>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</si>
  <si>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</si>
  <si>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</si>
  <si>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</si>
  <si>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</si>
  <si>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</si>
  <si>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</si>
  <si>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</si>
  <si>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</si>
  <si>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</si>
  <si>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</si>
  <si>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</si>
  <si>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</si>
  <si>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</si>
  <si>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</si>
  <si>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</si>
  <si>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</si>
  <si>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</si>
  <si>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</si>
  <si>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</si>
  <si>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</si>
  <si>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</si>
  <si>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</si>
  <si>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</si>
  <si>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</si>
  <si>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</si>
  <si>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</si>
  <si>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</si>
  <si>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</si>
  <si>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</si>
  <si>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</si>
  <si>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</si>
  <si>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</si>
  <si>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</si>
  <si>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</si>
  <si>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</si>
  <si>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</si>
  <si>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</si>
  <si>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</si>
  <si>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</si>
  <si>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</si>
  <si>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</si>
  <si>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</si>
  <si>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</si>
  <si>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</si>
  <si>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</si>
  <si>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</si>
  <si>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</si>
  <si>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</si>
  <si>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</si>
  <si>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</si>
  <si>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</si>
  <si>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</si>
  <si>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</si>
  <si>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</si>
  <si>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</si>
  <si>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</si>
  <si>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</si>
  <si>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</si>
  <si>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</si>
  <si>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</si>
  <si>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</si>
  <si>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</si>
  <si>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</si>
  <si>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</si>
  <si>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</si>
  <si>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</si>
  <si>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</si>
  <si>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</si>
  <si>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</si>
  <si>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</si>
  <si>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</si>
  <si>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</si>
  <si>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</si>
  <si>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</si>
  <si>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</si>
  <si>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</si>
  <si>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</si>
  <si>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</si>
  <si>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</si>
  <si>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</si>
  <si>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</si>
  <si>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</si>
  <si>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</si>
  <si>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</si>
  <si>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</si>
  <si>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</si>
  <si>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</si>
  <si>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</si>
  <si>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</si>
  <si>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</si>
  <si>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</si>
  <si>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</si>
  <si>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</si>
  <si>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</si>
  <si>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</si>
  <si>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</si>
  <si>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</si>
  <si>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</si>
  <si>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</si>
  <si>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</si>
  <si>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</si>
  <si>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</si>
  <si>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</si>
  <si>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</si>
  <si>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</si>
  <si>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</si>
  <si>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</si>
  <si>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</si>
  <si>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</si>
  <si>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</si>
  <si>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</si>
  <si>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</si>
  <si>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</si>
  <si>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</si>
  <si>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</si>
  <si>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</si>
  <si>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</si>
  <si>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</si>
  <si>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</si>
  <si>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</si>
  <si>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</si>
  <si>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</si>
  <si>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</si>
  <si>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</si>
  <si>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</si>
  <si>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</si>
  <si>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</si>
  <si>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</si>
  <si>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</si>
  <si>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</si>
  <si>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</si>
  <si>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</si>
  <si>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</si>
  <si>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</si>
  <si>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</si>
  <si>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</si>
  <si>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</si>
  <si>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</si>
  <si>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</si>
  <si>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</si>
  <si>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</si>
  <si>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</si>
  <si>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</si>
  <si>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</si>
  <si>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</si>
  <si>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</si>
  <si>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</si>
  <si>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</si>
  <si>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</si>
  <si>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</si>
  <si>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</si>
  <si>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</si>
  <si>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</si>
  <si>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</si>
  <si>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</si>
  <si>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</si>
  <si>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</si>
  <si>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</si>
  <si>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</si>
  <si>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</si>
  <si>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</si>
  <si>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</si>
  <si>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</si>
  <si>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</si>
  <si>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</si>
  <si>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</si>
  <si>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</si>
  <si>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</si>
  <si>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</si>
  <si>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</si>
  <si>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</si>
  <si>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</si>
  <si>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</si>
  <si>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</si>
  <si>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</si>
  <si>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</si>
  <si>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</si>
  <si>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</si>
  <si>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</si>
  <si>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</si>
  <si>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</si>
  <si>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</si>
  <si>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</si>
  <si>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</si>
  <si>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</si>
  <si>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</si>
  <si>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</si>
  <si>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</si>
  <si>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</si>
  <si>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</si>
  <si>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</si>
  <si>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</si>
  <si>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</si>
  <si>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</si>
  <si>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</si>
  <si>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</si>
  <si>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</si>
  <si>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</si>
  <si>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</si>
  <si>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</si>
  <si>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</si>
  <si>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</si>
  <si>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</si>
  <si>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</si>
  <si>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</si>
  <si>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</si>
  <si>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</si>
  <si>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</si>
  <si>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</si>
  <si>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</si>
  <si>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</si>
  <si>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</si>
  <si>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</si>
  <si>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</si>
  <si>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</si>
  <si>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</si>
  <si>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</si>
  <si>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</si>
  <si>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</si>
  <si>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</si>
  <si>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</si>
  <si>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</si>
  <si>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</si>
  <si>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</si>
  <si>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</si>
  <si>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</si>
  <si>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</si>
  <si>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</si>
  <si>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</si>
  <si>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</si>
  <si>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</si>
  <si>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</si>
  <si>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</si>
  <si>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</si>
  <si>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</si>
  <si>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</si>
  <si>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</si>
  <si>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</si>
  <si>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</si>
  <si>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</si>
  <si>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</si>
  <si>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</si>
  <si>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</si>
  <si>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</si>
  <si>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</si>
  <si>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</si>
  <si>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</si>
  <si>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</si>
  <si>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</si>
  <si>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</si>
  <si>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</si>
  <si>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</si>
  <si>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</si>
  <si>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</si>
  <si>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</si>
  <si>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</si>
  <si>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</si>
  <si>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</si>
  <si>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</si>
  <si>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</si>
  <si>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</si>
  <si>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</si>
  <si>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</si>
  <si>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</si>
  <si>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</si>
  <si>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</si>
  <si>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</si>
  <si>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</si>
  <si>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</si>
  <si>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</si>
  <si>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</si>
  <si>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</si>
  <si>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</si>
  <si>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</si>
  <si>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</si>
  <si>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</si>
  <si>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</si>
  <si>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</si>
  <si>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</si>
  <si>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</si>
  <si>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</si>
  <si>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</si>
  <si>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</si>
  <si>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</si>
  <si>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</si>
  <si>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</si>
  <si>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</si>
  <si>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</si>
  <si>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</si>
  <si>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</si>
  <si>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</si>
  <si>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</si>
  <si>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</si>
  <si>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</si>
  <si>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</si>
  <si>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</si>
  <si>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</si>
  <si>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</si>
  <si>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</si>
  <si>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</si>
  <si>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</si>
  <si>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</si>
  <si>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</si>
  <si>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</si>
  <si>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</si>
  <si>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</si>
  <si>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</si>
  <si>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</si>
  <si>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</si>
  <si>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</si>
  <si>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</si>
  <si>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</si>
  <si>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</si>
  <si>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</si>
  <si>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</si>
  <si>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</si>
  <si>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</si>
  <si>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</si>
  <si>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</si>
  <si>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</si>
  <si>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</si>
  <si>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</si>
  <si>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</si>
  <si>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</si>
  <si>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</si>
  <si>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</si>
  <si>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</si>
  <si>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</si>
  <si>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</si>
  <si>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</si>
  <si>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</si>
  <si>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</si>
  <si>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</si>
  <si>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</si>
  <si>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</si>
  <si>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</si>
  <si>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</si>
  <si>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</si>
  <si>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</si>
  <si>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</si>
  <si>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</si>
  <si>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</si>
  <si>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</si>
  <si>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</si>
  <si>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</si>
  <si>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</si>
  <si>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</si>
  <si>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</si>
  <si>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</si>
  <si>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</si>
  <si>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</si>
  <si>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</si>
  <si>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</si>
  <si>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</si>
  <si>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</si>
  <si>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</si>
  <si>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</si>
  <si>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</si>
  <si>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</si>
  <si>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</si>
  <si>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</si>
  <si>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</si>
  <si>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</si>
  <si>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</si>
  <si>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</si>
  <si>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</si>
  <si>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</si>
  <si>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</si>
  <si>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</si>
  <si>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</si>
  <si>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</si>
  <si>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</si>
  <si>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</si>
  <si>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</si>
  <si>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</si>
  <si>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</si>
  <si>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</si>
  <si>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</si>
  <si>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</si>
  <si>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</si>
  <si>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</si>
  <si>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</si>
  <si>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</si>
  <si>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</si>
  <si>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</si>
  <si>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</si>
  <si>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</si>
  <si>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</si>
  <si>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</si>
  <si>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</si>
  <si>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</si>
  <si>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</si>
  <si>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</si>
  <si>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</si>
  <si>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</si>
  <si>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</si>
  <si>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</si>
  <si>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</si>
  <si>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</si>
  <si>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</si>
  <si>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</si>
  <si>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</si>
  <si>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</si>
  <si>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</si>
  <si>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</si>
  <si>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</si>
  <si>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</si>
  <si>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</si>
  <si>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</si>
  <si>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</si>
  <si>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</si>
  <si>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</si>
  <si>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</si>
  <si>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</si>
  <si>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</si>
  <si>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</si>
  <si>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</si>
  <si>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</si>
  <si>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</si>
  <si>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</si>
  <si>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</si>
  <si>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</si>
  <si>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</si>
  <si>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</si>
  <si>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</si>
  <si>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</si>
  <si>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</si>
  <si>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</si>
  <si>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</si>
  <si>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</si>
  <si>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</si>
  <si>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</si>
  <si>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</si>
  <si>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</si>
  <si>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</si>
  <si>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</si>
  <si>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</si>
  <si>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</si>
  <si>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</si>
  <si>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</si>
  <si>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</si>
  <si>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</si>
  <si>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</si>
  <si>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</si>
  <si>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</si>
  <si>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</si>
  <si>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</si>
  <si>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</si>
  <si>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</si>
  <si>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</si>
  <si>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</si>
  <si>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</si>
  <si>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</si>
  <si>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</si>
  <si>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</si>
  <si>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</si>
  <si>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</si>
  <si>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</si>
  <si>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</si>
  <si>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</si>
  <si>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</si>
  <si>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</si>
  <si>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</si>
  <si>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</si>
  <si>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</si>
  <si>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</si>
  <si>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</si>
  <si>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</si>
  <si>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</si>
  <si>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</si>
  <si>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</si>
  <si>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</si>
  <si>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</si>
  <si>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</si>
  <si>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</si>
  <si>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</si>
  <si>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</si>
  <si>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</si>
  <si>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</si>
  <si>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</si>
  <si>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</si>
  <si>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</si>
  <si>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</si>
  <si>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</si>
  <si>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</si>
  <si>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</si>
  <si>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</si>
  <si>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</si>
  <si>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</si>
  <si>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</si>
  <si>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</si>
  <si>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</si>
  <si>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</si>
  <si>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</si>
  <si>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</si>
  <si>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</si>
  <si>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</si>
  <si>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</si>
  <si>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</si>
  <si>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</si>
  <si>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</si>
  <si>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</si>
  <si>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</si>
  <si>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</si>
  <si>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</si>
  <si>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</si>
  <si>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</si>
  <si>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</si>
  <si>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</si>
  <si>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</si>
  <si>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</si>
  <si>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</si>
  <si>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</si>
  <si>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</si>
  <si>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</si>
  <si>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</si>
  <si>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</si>
  <si>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</si>
  <si>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</si>
  <si>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</si>
  <si>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</si>
  <si>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</si>
  <si>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</si>
  <si>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</si>
  <si>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</si>
  <si>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</si>
  <si>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</si>
  <si>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</si>
  <si>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</si>
  <si>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</si>
  <si>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</si>
  <si>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</si>
  <si>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</si>
  <si>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</si>
  <si>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</si>
  <si>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</si>
  <si>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</si>
  <si>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</si>
  <si>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</si>
  <si>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</si>
  <si>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</si>
  <si>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</si>
  <si>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</si>
  <si>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</si>
  <si>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</si>
  <si>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</si>
  <si>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</si>
  <si>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</si>
  <si>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</si>
  <si>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</si>
  <si>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</si>
  <si>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</si>
  <si>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</si>
  <si>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</si>
  <si>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</si>
  <si>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</si>
  <si>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</si>
  <si>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</si>
  <si>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</si>
  <si>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</si>
  <si>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</si>
  <si>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</si>
  <si>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</si>
  <si>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</si>
  <si>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</si>
  <si>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</si>
  <si>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</si>
  <si>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</si>
  <si>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</si>
  <si>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</si>
  <si>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</si>
  <si>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</si>
  <si>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</si>
  <si>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</si>
  <si>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</si>
  <si>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</si>
  <si>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</si>
  <si>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</si>
  <si>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</si>
  <si>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</si>
  <si>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</si>
  <si>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</si>
  <si>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</si>
  <si>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</si>
  <si>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</si>
  <si>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</si>
  <si>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</si>
  <si>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</si>
  <si>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</si>
  <si>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</si>
  <si>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</si>
  <si>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</si>
  <si>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</si>
  <si>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</si>
  <si>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</si>
  <si>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</si>
  <si>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</si>
  <si>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</si>
  <si>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</si>
  <si>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</si>
  <si>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</si>
  <si>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</si>
  <si>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</si>
  <si>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</si>
  <si>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</si>
  <si>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</si>
  <si>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</si>
  <si>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</si>
  <si>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</si>
  <si>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</si>
  <si>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</si>
  <si>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</si>
  <si>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</si>
  <si>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</si>
  <si>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</si>
  <si>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</si>
  <si>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</si>
  <si>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</si>
  <si>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</si>
  <si>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</si>
  <si>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</si>
  <si>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</si>
  <si>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</si>
  <si>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</si>
  <si>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</si>
  <si>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</si>
  <si>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</si>
  <si>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</si>
  <si>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</si>
  <si>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</si>
  <si>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</si>
  <si>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</si>
  <si>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</si>
  <si>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</si>
  <si>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</si>
  <si>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</si>
  <si>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</si>
  <si>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</si>
  <si>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</si>
  <si>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</si>
  <si>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</si>
  <si>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</si>
  <si>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</si>
  <si>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</si>
  <si>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</si>
  <si>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</si>
  <si>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</si>
  <si>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</si>
  <si>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</si>
  <si>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</si>
  <si>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</si>
  <si>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</si>
  <si>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</si>
  <si>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</si>
  <si>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</si>
  <si>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</si>
  <si>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</si>
  <si>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</si>
  <si>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</si>
  <si>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</si>
  <si>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</si>
  <si>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</si>
  <si>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</si>
  <si>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</si>
  <si>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</si>
  <si>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</si>
  <si>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</si>
  <si>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</si>
  <si>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</si>
  <si>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</si>
  <si>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</si>
  <si>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</si>
  <si>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</si>
  <si>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</si>
  <si>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</si>
  <si>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</si>
  <si>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</si>
  <si>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</si>
  <si>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</si>
  <si>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</si>
  <si>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</si>
  <si>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</si>
  <si>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</si>
  <si>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</si>
  <si>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</si>
  <si>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</si>
  <si>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</si>
  <si>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</si>
  <si>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</si>
  <si>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</si>
  <si>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</si>
  <si>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</si>
  <si>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</si>
  <si>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</si>
  <si>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</si>
  <si>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</si>
  <si>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</si>
  <si>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</si>
  <si>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</si>
  <si>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</si>
  <si>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</si>
  <si>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</si>
  <si>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</si>
  <si>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26.02.2024 № 5/4 "О внесении изменений в отдельные постановления Комитета по тарифному регулированию Мурманской области"</t>
  </si>
  <si>
    <t>Постановление Комитета по тарифному регулированию Мурманской области от 28.03.2024 № 8/6 "О внесении изменений в отдельные постановления Комитета по тарифному регулированию Мурманской области"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</si>
  <si>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</si>
  <si>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</si>
  <si>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</si>
  <si>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Постановление Комитета по тарифному регулированию Мурманской области от 26.02.2024 № 5/4 "О внесении изменений в отдельные постановления Комитета по тарифному регулированию Мурманской области" распространяется на правоотношения, возникшие с 01.01.2024</t>
  </si>
  <si>
    <t>Постановление Комитета по тарифному регулированию Мурманской области от 26.02.2024 № 5/4 "О внесении изменений в отдельные постановления Комитета по тарифному регулированию Мурманской области" вступает в силу с 28 марта 2024 года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</si>
  <si>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</si>
  <si>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</si>
  <si>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</si>
  <si>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</si>
  <si>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</si>
  <si>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</si>
  <si>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</si>
  <si>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</si>
  <si>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</si>
  <si>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</si>
  <si>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</si>
  <si>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</si>
  <si>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</si>
  <si>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</si>
  <si>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</si>
  <si>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</si>
  <si>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</si>
  <si>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</si>
  <si>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</si>
  <si>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</si>
  <si>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</si>
  <si>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</si>
  <si>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</si>
  <si>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</si>
  <si>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</si>
  <si>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</si>
  <si>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</si>
  <si>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</si>
  <si>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</si>
  <si>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</si>
  <si>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</si>
  <si>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</si>
  <si>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</si>
  <si>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</si>
  <si>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</si>
  <si>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</si>
  <si>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</si>
  <si>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</si>
  <si>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</si>
  <si>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</si>
  <si>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</si>
  <si>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</si>
  <si>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</si>
  <si>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</si>
  <si>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</si>
  <si>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</si>
  <si>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</si>
  <si>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</si>
  <si>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</si>
  <si>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</si>
  <si>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</si>
  <si>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</si>
  <si>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</si>
  <si>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</si>
  <si>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</si>
  <si>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</si>
  <si>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</si>
  <si>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</si>
  <si>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</si>
  <si>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</si>
  <si>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</si>
  <si>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</si>
  <si>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</si>
  <si>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</si>
  <si>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</si>
  <si>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</si>
  <si>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</si>
  <si>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</si>
  <si>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</si>
  <si>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</si>
  <si>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</si>
  <si>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</si>
  <si>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</si>
  <si>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</si>
  <si>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</si>
  <si>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</si>
  <si>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</si>
  <si>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</si>
  <si>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</si>
  <si>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</si>
  <si>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</si>
  <si>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</si>
  <si>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</si>
  <si>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</si>
  <si>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</si>
  <si>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</si>
  <si>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</si>
  <si>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</si>
  <si>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</si>
  <si>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</si>
  <si>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</si>
  <si>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</si>
  <si>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</si>
  <si>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</si>
  <si>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</si>
  <si>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</si>
  <si>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</si>
  <si>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</si>
  <si>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</si>
  <si>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</si>
  <si>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</si>
  <si>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</si>
  <si>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</si>
  <si>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</si>
  <si>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</si>
  <si>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</si>
  <si>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</si>
  <si>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</si>
  <si>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</si>
  <si>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</si>
  <si>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</si>
  <si>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</si>
  <si>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</si>
  <si>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</si>
  <si>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</si>
  <si>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</si>
  <si>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</si>
  <si>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</si>
  <si>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</si>
  <si>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</si>
  <si>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</si>
  <si>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</si>
  <si>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</si>
  <si>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</si>
  <si>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</si>
  <si>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</si>
  <si>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</si>
  <si>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</si>
  <si>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</si>
  <si>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</si>
  <si>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</si>
  <si>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</si>
  <si>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</si>
  <si>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</si>
  <si>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</si>
  <si>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</si>
  <si>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</si>
  <si>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</si>
  <si>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</si>
  <si>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</si>
  <si>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</si>
  <si>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</si>
  <si>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</si>
  <si>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</si>
  <si>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</si>
  <si>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</si>
  <si>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</si>
  <si>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</si>
  <si>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</si>
  <si>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</si>
  <si>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</si>
  <si>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</si>
  <si>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</si>
  <si>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</si>
  <si>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</si>
  <si>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</si>
  <si>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</si>
  <si>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</si>
  <si>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</si>
  <si>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</si>
  <si>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</si>
  <si>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</si>
  <si>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</si>
  <si>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</si>
  <si>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</si>
  <si>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</si>
  <si>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</si>
  <si>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</si>
  <si>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</si>
  <si>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</si>
  <si>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</si>
  <si>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</si>
  <si>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</si>
  <si>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</si>
  <si>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</si>
  <si>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</si>
  <si>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</si>
  <si>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</si>
  <si>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</si>
  <si>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</si>
  <si>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</si>
  <si>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</si>
  <si>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</si>
  <si>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</si>
  <si>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</si>
  <si>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</si>
  <si>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</si>
  <si>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</si>
  <si>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</si>
  <si>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</si>
  <si>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</si>
  <si>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</si>
  <si>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</si>
  <si>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</si>
  <si>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</si>
  <si>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</si>
  <si>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</si>
  <si>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</si>
  <si>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</si>
  <si>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</si>
  <si>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</si>
  <si>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</si>
  <si>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</si>
  <si>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</si>
  <si>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</si>
  <si>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</si>
  <si>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</si>
  <si>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</si>
  <si>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</si>
  <si>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</si>
  <si>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</si>
  <si>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</si>
  <si>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</si>
  <si>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</si>
  <si>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</si>
  <si>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</si>
  <si>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</si>
  <si>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</si>
  <si>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</si>
  <si>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</si>
  <si>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</si>
  <si>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</si>
  <si>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</si>
  <si>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</si>
  <si>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</si>
  <si>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</si>
  <si>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</si>
  <si>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</si>
  <si>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</si>
  <si>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</si>
  <si>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</si>
  <si>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</si>
  <si>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</si>
  <si>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</si>
  <si>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</si>
  <si>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</si>
  <si>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</si>
  <si>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</si>
  <si>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</si>
  <si>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</si>
  <si>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</si>
  <si>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</si>
  <si>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</si>
  <si>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</si>
  <si>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</si>
  <si>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</si>
  <si>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</si>
  <si>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</si>
  <si>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</si>
  <si>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</si>
  <si>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</si>
  <si>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</si>
  <si>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</si>
  <si>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</si>
  <si>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</si>
  <si>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</si>
  <si>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</si>
  <si>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</si>
  <si>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</si>
  <si>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</si>
  <si>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</si>
  <si>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</si>
  <si>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</si>
  <si>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</si>
  <si>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</si>
  <si>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</si>
  <si>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</si>
  <si>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</si>
  <si>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</si>
  <si>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</si>
  <si>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</si>
  <si>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</si>
  <si>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</si>
  <si>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</si>
  <si>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</si>
  <si>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</si>
  <si>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</si>
  <si>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</si>
  <si>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</si>
  <si>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</si>
  <si>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</si>
  <si>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</si>
  <si>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</si>
  <si>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</si>
  <si>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</si>
  <si>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</si>
  <si>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</si>
  <si>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</si>
  <si>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</si>
  <si>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</si>
  <si>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</si>
  <si>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</si>
  <si>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</si>
  <si>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</si>
  <si>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</si>
  <si>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</si>
  <si>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</si>
  <si>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</si>
  <si>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</si>
  <si>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</si>
  <si>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</si>
  <si>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</si>
  <si>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</si>
  <si>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</si>
  <si>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</si>
  <si>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</si>
  <si>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</si>
  <si>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</si>
  <si>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</si>
  <si>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</si>
  <si>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</si>
  <si>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</si>
  <si>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</si>
  <si>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</si>
  <si>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</si>
  <si>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</si>
  <si>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</si>
  <si>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</si>
  <si>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</si>
  <si>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</si>
  <si>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</si>
  <si>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</si>
  <si>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</si>
  <si>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</si>
  <si>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</si>
  <si>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</si>
  <si>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</si>
  <si>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</si>
  <si>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</si>
  <si>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</si>
  <si>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</si>
  <si>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</si>
  <si>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</si>
  <si>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</si>
  <si>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</si>
  <si>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</si>
  <si>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</si>
  <si>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</si>
  <si>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</si>
  <si>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</si>
  <si>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</si>
  <si>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</si>
  <si>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</si>
  <si>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</si>
  <si>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</si>
  <si>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</si>
  <si>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</si>
  <si>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</si>
  <si>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</si>
  <si>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</si>
  <si>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</si>
  <si>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</si>
  <si>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</si>
  <si>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</si>
  <si>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</si>
  <si>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</si>
  <si>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</si>
  <si>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</si>
  <si>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</si>
  <si>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</si>
  <si>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</si>
  <si>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</si>
  <si>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</si>
  <si>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</si>
  <si>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</si>
  <si>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</si>
  <si>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</si>
  <si>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</si>
  <si>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</si>
  <si>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</si>
  <si>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</si>
  <si>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</si>
  <si>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</si>
  <si>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</si>
  <si>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</si>
  <si>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</si>
  <si>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</si>
  <si>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</si>
  <si>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</si>
  <si>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</si>
  <si>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</si>
  <si>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</si>
  <si>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</si>
  <si>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</si>
  <si>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</si>
  <si>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</si>
  <si>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</si>
  <si>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</si>
  <si>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</si>
  <si>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</si>
  <si>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</si>
  <si>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</si>
  <si>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</si>
  <si>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</si>
  <si>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</si>
  <si>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</si>
  <si>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</si>
  <si>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</si>
  <si>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</si>
  <si>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</si>
  <si>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</si>
  <si>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</si>
  <si>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</si>
  <si>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</si>
  <si>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</si>
  <si>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</si>
  <si>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</si>
  <si>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</si>
  <si>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</si>
  <si>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</si>
  <si>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</si>
  <si>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</si>
  <si>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</si>
  <si>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</si>
  <si>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</si>
  <si>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</si>
  <si>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</si>
  <si>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</si>
  <si>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</si>
  <si>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</si>
  <si>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</si>
  <si>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</si>
  <si>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</si>
  <si>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</si>
  <si>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</si>
  <si>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</si>
  <si>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</si>
  <si>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</si>
  <si>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</si>
  <si>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</si>
  <si>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</si>
  <si>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</si>
  <si>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</si>
  <si>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</si>
  <si>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</si>
  <si>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</si>
  <si>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</si>
  <si>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</si>
  <si>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</si>
  <si>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</si>
  <si>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</si>
  <si>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</si>
  <si>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</si>
  <si>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</si>
  <si>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</si>
  <si>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</si>
  <si>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</si>
  <si>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</si>
  <si>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</si>
  <si>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</si>
  <si>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</si>
  <si>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</si>
  <si>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</si>
  <si>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</si>
  <si>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</si>
  <si>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</si>
  <si>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</si>
  <si>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</si>
  <si>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</si>
  <si>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</si>
  <si>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</si>
  <si>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</si>
  <si>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</si>
  <si>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</si>
  <si>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</si>
  <si>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</si>
  <si>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</si>
  <si>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</si>
  <si>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</si>
  <si>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</si>
  <si>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</si>
  <si>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</si>
  <si>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</si>
  <si>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</si>
  <si>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</si>
  <si>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</si>
  <si>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</si>
  <si>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</si>
  <si>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</si>
  <si>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</si>
  <si>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</si>
  <si>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</si>
  <si>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</si>
  <si>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</si>
  <si>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</si>
  <si>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</si>
  <si>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</si>
  <si>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</si>
  <si>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</si>
  <si>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</si>
  <si>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</si>
  <si>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</si>
  <si>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</si>
  <si>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</si>
  <si>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</si>
  <si>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</si>
  <si>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</si>
  <si>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</si>
  <si>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</si>
  <si>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</si>
  <si>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</si>
  <si>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</si>
  <si>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</si>
  <si>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</si>
  <si>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</si>
  <si>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</si>
  <si>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</si>
  <si>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</si>
  <si>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</si>
  <si>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</si>
  <si>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</si>
  <si>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</si>
  <si>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</si>
  <si>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</si>
  <si>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</si>
  <si>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</si>
  <si>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</si>
  <si>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</si>
  <si>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</si>
  <si>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</si>
  <si>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</si>
  <si>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</si>
  <si>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</si>
  <si>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</si>
  <si>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</si>
  <si>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</si>
  <si>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</si>
  <si>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</si>
  <si>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</si>
  <si>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</si>
  <si>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</si>
  <si>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</si>
  <si>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</si>
  <si>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</si>
  <si>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</si>
  <si>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</si>
  <si>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</si>
  <si>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</si>
  <si>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</si>
  <si>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</si>
  <si>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</si>
  <si>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</si>
  <si>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</si>
  <si>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</si>
  <si>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</si>
  <si>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</si>
  <si>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</si>
  <si>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</si>
  <si>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</si>
  <si>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</si>
  <si>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</si>
  <si>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</si>
  <si>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</si>
  <si>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</si>
  <si>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</si>
  <si>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</si>
  <si>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</si>
  <si>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</si>
  <si>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</si>
  <si>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</si>
  <si>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</si>
  <si>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</si>
  <si>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</si>
  <si>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</si>
  <si>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</si>
  <si>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</si>
  <si>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</si>
  <si>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</si>
  <si>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</si>
  <si>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</si>
  <si>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</si>
  <si>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</si>
  <si>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</si>
  <si>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</si>
  <si>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</si>
  <si>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</si>
  <si>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</si>
  <si>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</si>
  <si>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</si>
  <si>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</si>
  <si>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</si>
  <si>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</si>
  <si>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</si>
  <si>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</si>
  <si>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</si>
  <si>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</si>
  <si>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</si>
  <si>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</si>
  <si>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</si>
  <si>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</si>
  <si>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</si>
  <si>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</si>
  <si>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</si>
  <si>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</si>
  <si>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</si>
  <si>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</si>
  <si>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</si>
  <si>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</si>
  <si>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</si>
  <si>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</si>
  <si>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</si>
  <si>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</si>
  <si>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</si>
  <si>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</si>
  <si>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</si>
  <si>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</si>
  <si>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</si>
  <si>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</si>
  <si>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</si>
  <si>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</si>
  <si>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</si>
  <si>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</si>
  <si>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</si>
  <si>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</si>
  <si>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</si>
  <si>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</si>
  <si>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</si>
  <si>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</si>
  <si>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</si>
  <si>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</si>
  <si>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</si>
  <si>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</si>
  <si>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</si>
  <si>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</si>
  <si>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</si>
  <si>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</si>
  <si>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</si>
  <si>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</si>
  <si>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</si>
  <si>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</si>
  <si>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</si>
  <si>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</si>
  <si>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</si>
  <si>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</si>
  <si>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</si>
  <si>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</si>
  <si>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</si>
  <si>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</si>
  <si>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</si>
  <si>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</si>
  <si>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</si>
  <si>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</si>
  <si>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</si>
  <si>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</si>
  <si>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</si>
  <si>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</si>
  <si>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</si>
  <si>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</si>
  <si>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</si>
  <si>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</si>
  <si>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</si>
  <si>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</si>
  <si>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</si>
  <si>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</si>
  <si>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</si>
  <si>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</si>
  <si>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</si>
  <si>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</si>
  <si>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</si>
  <si>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</si>
  <si>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</si>
  <si>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</si>
  <si>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</si>
  <si>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</si>
  <si>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</si>
  <si>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</si>
  <si>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</si>
  <si>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</si>
  <si>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</si>
  <si>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</si>
  <si>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</si>
  <si>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</si>
  <si>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</si>
  <si>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</si>
  <si>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</si>
  <si>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</si>
  <si>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</si>
  <si>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</si>
  <si>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</si>
  <si>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</si>
  <si>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</si>
  <si>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</si>
  <si>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</si>
  <si>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</si>
  <si>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</si>
  <si>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</si>
  <si>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</si>
  <si>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</si>
  <si>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</si>
  <si>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</si>
  <si>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</si>
  <si>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</si>
  <si>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</si>
  <si>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</si>
  <si>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</si>
  <si>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</si>
  <si>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</si>
  <si>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</si>
  <si>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</si>
  <si>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</si>
  <si>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</si>
  <si>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</si>
  <si>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</si>
  <si>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</si>
  <si>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</si>
  <si>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</si>
  <si>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</si>
  <si>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</si>
  <si>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</si>
  <si>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</si>
  <si>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</si>
  <si>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</si>
  <si>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</si>
  <si>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</si>
  <si>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</si>
  <si>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</si>
  <si>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</si>
  <si>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</si>
  <si>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</si>
  <si>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</si>
  <si>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</si>
  <si>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</si>
  <si>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</si>
  <si>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</si>
  <si>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</si>
  <si>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поселок Видяево</t>
  </si>
  <si>
    <t>47735000</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</si>
  <si>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</si>
  <si>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</si>
  <si>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</si>
  <si>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</si>
  <si>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</si>
  <si>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</si>
  <si>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</si>
  <si>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</si>
  <si>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</si>
  <si>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</si>
  <si>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городское поселение, в состав которого входит поселок</t>
  </si>
  <si>
    <t>муниципальный округ</t>
  </si>
  <si>
    <t>47605000</t>
  </si>
  <si>
    <t>Междуреченское сельское поселение</t>
  </si>
  <si>
    <t>47605402</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</si>
  <si>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</si>
  <si>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</si>
  <si>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</si>
  <si>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</si>
  <si>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</si>
  <si>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</si>
  <si>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</si>
  <si>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</si>
  <si>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</si>
  <si>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</si>
  <si>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</si>
  <si>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</si>
  <si>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</si>
  <si>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</si>
  <si>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47610000</t>
  </si>
  <si>
    <t>Поселок Ревда</t>
  </si>
  <si>
    <t>47610154</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</si>
  <si>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</si>
  <si>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</si>
  <si>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</si>
  <si>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</si>
  <si>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</si>
  <si>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</si>
  <si>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</si>
  <si>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</si>
  <si>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</si>
  <si>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</si>
  <si>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</si>
  <si>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</si>
  <si>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</si>
  <si>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</si>
  <si>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Полярные Зори</t>
  </si>
  <si>
    <t>47528000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</si>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</sst>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7" formatCode="#,##0.000"/>
    <numFmt numFmtId="168" formatCode="000000"/>
    <numFmt numFmtId="169" formatCode="#,##0.0000"/>
    <numFmt numFmtId="170" formatCode="dd\.mm\.yyyy"/>
    <numFmt numFmtId="171" formatCode="h:mm;@"/>
    <numFmt numFmtId="173" formatCode="_-* #,##0.00[$€-1]_-;\-* #,##0.00[$€-1]_-;_-* &quot;-&quot;??[$€-1]_-"/>
    <numFmt numFmtId="174" formatCode="#,##0.0"/>
  </numFmts>
  <fonts count="119">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00FF00"/>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9">
    <border>
      <left/>
      <right/>
      <top/>
      <bottom/>
      <diagonal/>
    </border>
    <border>
      <left style="thin">
        <color rgb="FF808080"/>
      </left>
      <right style="thin">
        <color rgb="FF808080"/>
      </right>
      <top style="thin">
        <color rgb="FF808080"/>
      </top>
      <bottom style="thin">
        <color rgb="FF808080"/>
      </bottom>
      <diagonal/>
    </border>
    <border>
      <left style="thick">
        <color rgb="FF808080"/>
      </left>
      <right style="thick">
        <color rgb="FF808080"/>
      </right>
      <top style="thick">
        <color rgb="FF808080"/>
      </top>
      <bottom style="thick">
        <color rgb="FF808080"/>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3">
    <xf numFmtId="49" fontId="0" fillId="0" borderId="0" applyFill="0" applyBorder="0">
      <alignment vertical="top"/>
    </xf>
    <xf numFmtId="0" fontId="2" fillId="0" borderId="0" applyFill="0" applyBorder="0">
      <alignment vertical="top"/>
    </xf>
    <xf numFmtId="0" fontId="3" fillId="0" borderId="0" applyFill="0" applyBorder="0"/>
    <xf numFmtId="173" fontId="3" fillId="0" borderId="0" applyFill="0" applyBorder="0"/>
    <xf numFmtId="38" fontId="4" fillId="0" borderId="0" applyFill="0" applyBorder="0">
      <alignment vertical="top"/>
    </xf>
    <xf numFmtId="0" fontId="5" fillId="0" borderId="1" applyFill="0">
      <alignment vertical="top"/>
      <protection locked="0"/>
    </xf>
    <xf numFmtId="174" fontId="6" fillId="6" borderId="0" applyBorder="0">
      <protection locked="0"/>
    </xf>
    <xf numFmtId="0" fontId="7" fillId="0" borderId="0" applyFill="0" applyBorder="0">
      <alignment vertical="center"/>
    </xf>
    <xf numFmtId="167" fontId="6" fillId="6" borderId="0" applyBorder="0">
      <protection locked="0"/>
    </xf>
    <xf numFmtId="169"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3" fillId="0" borderId="0" applyFill="0" applyBorder="0">
      <alignment vertical="top"/>
    </xf>
    <xf numFmtId="0" fontId="20" fillId="0" borderId="0" applyFill="0" applyBorder="0"/>
    <xf numFmtId="0" fontId="21" fillId="9" borderId="0" applyBorder="0">
      <alignment vertical="top"/>
    </xf>
    <xf numFmtId="49" fontId="21" fillId="0" borderId="0" applyFill="0" applyBorder="0">
      <alignment vertical="top"/>
    </xf>
    <xf numFmtId="0" fontId="5" fillId="0" borderId="0" applyFill="0" applyBorder="0">
      <alignment wrapText="1"/>
    </xf>
    <xf numFmtId="49" fontId="6" fillId="9" borderId="0" applyBorder="0">
      <alignment vertical="top"/>
    </xf>
    <xf numFmtId="49" fontId="113" fillId="10" borderId="0" applyBorder="0">
      <alignment vertical="top"/>
    </xf>
  </cellStyleXfs>
  <cellXfs count="16389">
    <xf numFmtId="49" fontId="0" fillId="0" borderId="0" xfId="0" applyNumberFormat="1" applyFont="1">
      <alignment vertical="top"/>
    </xf>
    <xf numFmtId="49" fontId="0" fillId="10" borderId="0" xfId="32" applyNumberFormat="1" applyFont="1" applyFill="1">
      <alignment vertical="top"/>
    </xf>
    <xf numFmtId="49" fontId="0" fillId="0" borderId="0" xfId="26" applyNumberFormat="1" applyFont="1">
      <alignment vertical="top"/>
    </xf>
    <xf numFmtId="49" fontId="0" fillId="0" borderId="0" xfId="26"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0" fontId="24"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3" fillId="0" borderId="0" xfId="0" applyNumberFormat="1" applyFont="1" applyAlignment="1">
      <alignment horizontal="center" vertical="center" wrapText="1"/>
    </xf>
    <xf numFmtId="0" fontId="25"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4"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6"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xf>
    <xf numFmtId="49" fontId="28" fillId="0" borderId="4" xfId="0" applyNumberFormat="1" applyFont="1" applyBorder="1" applyAlignment="1">
      <alignment vertical="top" wrapText="1"/>
    </xf>
    <xf numFmtId="0" fontId="0" fillId="0" borderId="4" xfId="0" applyNumberFormat="1" applyFont="1" applyBorder="1" applyAlignment="1">
      <alignment vertical="top" wrapText="1"/>
    </xf>
    <xf numFmtId="0" fontId="20" fillId="0" borderId="0" xfId="0" applyNumberFormat="1" applyFont="1" applyAlignment="1"/>
    <xf numFmtId="0" fontId="6" fillId="10" borderId="0" xfId="0" applyNumberFormat="1" applyFont="1" applyFill="1" applyAlignment="1">
      <alignment horizontal="center" vertical="center" wrapText="1"/>
    </xf>
    <xf numFmtId="0" fontId="29" fillId="10" borderId="0" xfId="0" applyNumberFormat="1" applyFont="1" applyFill="1" applyAlignment="1">
      <alignment vertical="center" wrapText="1"/>
    </xf>
    <xf numFmtId="0" fontId="2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5" xfId="0" applyNumberFormat="1" applyFont="1" applyFill="1" applyBorder="1" applyAlignment="1">
      <alignment horizontal="center" vertical="center" wrapText="1"/>
    </xf>
    <xf numFmtId="49" fontId="6" fillId="12" borderId="5" xfId="0" applyNumberFormat="1" applyFont="1" applyFill="1" applyBorder="1" applyAlignment="1" applyProtection="1">
      <alignment horizontal="left" vertical="center" wrapText="1"/>
      <protection locked="0"/>
    </xf>
    <xf numFmtId="49" fontId="30" fillId="13" borderId="6" xfId="0" applyNumberFormat="1" applyFont="1" applyFill="1" applyBorder="1" applyAlignment="1">
      <alignment horizontal="left" vertical="center"/>
    </xf>
    <xf numFmtId="0" fontId="0" fillId="0" borderId="5" xfId="0" applyNumberFormat="1" applyFont="1" applyBorder="1" applyAlignment="1">
      <alignment horizontal="center" vertical="center" wrapText="1"/>
    </xf>
    <xf numFmtId="0" fontId="6" fillId="13" borderId="7" xfId="0" applyNumberFormat="1" applyFont="1" applyFill="1" applyBorder="1" applyAlignment="1">
      <alignment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center" vertical="center"/>
    </xf>
    <xf numFmtId="49" fontId="6" fillId="12" borderId="5" xfId="0" applyNumberFormat="1" applyFont="1" applyFill="1" applyBorder="1" applyAlignment="1" applyProtection="1">
      <alignment horizontal="left" vertical="center" wrapText="1"/>
      <protection locked="0"/>
    </xf>
    <xf numFmtId="0" fontId="22" fillId="0" borderId="0" xfId="0" applyNumberFormat="1" applyFont="1" applyAlignment="1">
      <alignment vertical="center" wrapText="1"/>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3" fillId="10" borderId="0" xfId="0" applyNumberFormat="1" applyFont="1" applyFill="1" applyAlignment="1">
      <alignment horizontal="center" vertical="center" wrapText="1"/>
    </xf>
    <xf numFmtId="0" fontId="22" fillId="10" borderId="0" xfId="0" applyNumberFormat="1" applyFont="1" applyFill="1" applyAlignment="1"/>
    <xf numFmtId="49" fontId="6" fillId="0" borderId="0" xfId="0" applyNumberFormat="1" applyFont="1">
      <alignment vertical="top"/>
    </xf>
    <xf numFmtId="49" fontId="27"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34" fillId="13" borderId="8" xfId="0" applyNumberFormat="1" applyFont="1" applyFill="1" applyBorder="1" applyAlignment="1">
      <alignment horizontal="center" vertical="top"/>
    </xf>
    <xf numFmtId="49" fontId="30" fillId="13" borderId="8" xfId="0" applyNumberFormat="1" applyFont="1" applyFill="1" applyBorder="1" applyAlignment="1">
      <alignment horizontal="left" vertical="center"/>
    </xf>
    <xf numFmtId="0" fontId="31"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49" fontId="35" fillId="0" borderId="0" xfId="0" applyNumberFormat="1" applyFont="1" applyAlignment="1">
      <alignment horizontal="right" vertical="top"/>
    </xf>
    <xf numFmtId="49" fontId="35"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9" xfId="0" applyNumberFormat="1" applyFont="1" applyBorder="1">
      <alignment vertical="top"/>
    </xf>
    <xf numFmtId="49" fontId="36" fillId="0" borderId="0" xfId="0" applyNumberFormat="1" applyFont="1">
      <alignment vertical="top"/>
    </xf>
    <xf numFmtId="0" fontId="36" fillId="0" borderId="0" xfId="0" applyNumberFormat="1" applyFont="1" applyAlignment="1">
      <alignment vertical="center" wrapText="1"/>
    </xf>
    <xf numFmtId="49" fontId="0" fillId="10" borderId="5" xfId="0" applyNumberFormat="1" applyFont="1" applyFill="1" applyBorder="1" applyAlignment="1">
      <alignment horizontal="center" vertical="center" wrapText="1"/>
    </xf>
    <xf numFmtId="0" fontId="22" fillId="0" borderId="0" xfId="0" applyNumberFormat="1" applyFont="1" applyAlignment="1">
      <alignment horizontal="left" vertical="center" wrapText="1"/>
    </xf>
    <xf numFmtId="49" fontId="6" fillId="0" borderId="5" xfId="0" applyNumberFormat="1" applyFont="1" applyBorder="1" applyAlignment="1">
      <alignment horizontal="left" vertical="center" wrapText="1"/>
    </xf>
    <xf numFmtId="0" fontId="6" fillId="10" borderId="10" xfId="0" applyNumberFormat="1" applyFont="1" applyFill="1" applyBorder="1" applyAlignment="1">
      <alignment horizontal="center" vertical="center"/>
    </xf>
    <xf numFmtId="0" fontId="6" fillId="0" borderId="5" xfId="0" applyNumberFormat="1" applyFont="1" applyBorder="1" applyAlignment="1">
      <alignment vertical="center" wrapText="1"/>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top" wrapText="1"/>
    </xf>
    <xf numFmtId="49" fontId="6" fillId="0" borderId="5" xfId="0" applyNumberFormat="1" applyFont="1" applyBorder="1" applyAlignment="1">
      <alignment horizontal="center" vertical="center" wrapText="1"/>
    </xf>
    <xf numFmtId="0" fontId="5" fillId="0" borderId="11" xfId="0" applyNumberFormat="1" applyFont="1" applyBorder="1" applyAlignment="1">
      <alignment vertical="top" wrapText="1"/>
    </xf>
    <xf numFmtId="49" fontId="0" fillId="0" borderId="5" xfId="0" applyNumberFormat="1" applyFont="1" applyBorder="1" applyAlignment="1">
      <alignment vertical="top" wrapText="1"/>
    </xf>
    <xf numFmtId="0" fontId="0" fillId="0" borderId="5" xfId="0" applyNumberFormat="1" applyFont="1" applyBorder="1" applyAlignment="1">
      <alignment vertical="top" wrapText="1"/>
    </xf>
    <xf numFmtId="0" fontId="0" fillId="0" borderId="0" xfId="0" applyNumberFormat="1" applyFont="1" applyAlignment="1"/>
    <xf numFmtId="0" fontId="27"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6" fillId="0" borderId="0" xfId="0" applyNumberFormat="1" applyFont="1" applyAlignment="1">
      <alignment vertical="center"/>
    </xf>
    <xf numFmtId="168" fontId="6" fillId="0" borderId="5" xfId="0" applyNumberFormat="1" applyFont="1" applyBorder="1" applyAlignment="1">
      <alignment horizontal="center" vertical="center" wrapText="1"/>
    </xf>
    <xf numFmtId="49" fontId="36" fillId="13" borderId="12" xfId="0" applyNumberFormat="1" applyFont="1" applyFill="1" applyBorder="1" applyAlignment="1">
      <alignment horizontal="left" vertical="center" wrapText="1"/>
    </xf>
    <xf numFmtId="49" fontId="0" fillId="13" borderId="8" xfId="0" applyNumberFormat="1" applyFont="1" applyFill="1" applyBorder="1" applyAlignment="1">
      <alignment horizontal="left" vertical="center"/>
    </xf>
    <xf numFmtId="49" fontId="36" fillId="13" borderId="13" xfId="0" applyNumberFormat="1" applyFont="1" applyFill="1" applyBorder="1" applyAlignment="1">
      <alignment horizontal="left" vertical="center" wrapText="1"/>
    </xf>
    <xf numFmtId="0" fontId="26" fillId="0" borderId="0" xfId="0" applyNumberFormat="1" applyFont="1" applyAlignment="1">
      <alignment horizontal="center" vertical="center" wrapText="1"/>
    </xf>
    <xf numFmtId="49" fontId="18" fillId="13" borderId="8" xfId="0" applyNumberFormat="1" applyFont="1" applyFill="1" applyBorder="1" applyAlignment="1">
      <alignment horizontal="right" vertical="center" wrapText="1"/>
    </xf>
    <xf numFmtId="49" fontId="6" fillId="13" borderId="8" xfId="0" applyNumberFormat="1" applyFont="1" applyFill="1" applyBorder="1" applyAlignment="1">
      <alignment horizontal="right" vertical="center" wrapText="1"/>
    </xf>
    <xf numFmtId="49" fontId="6" fillId="13" borderId="6" xfId="0" applyNumberFormat="1" applyFont="1" applyFill="1" applyBorder="1" applyAlignment="1">
      <alignment horizontal="right" vertical="center" wrapText="1"/>
    </xf>
    <xf numFmtId="0" fontId="6" fillId="0" borderId="14" xfId="0" applyNumberFormat="1" applyFont="1" applyBorder="1" applyAlignment="1">
      <alignment vertical="center" wrapText="1"/>
    </xf>
    <xf numFmtId="0" fontId="35" fillId="0" borderId="0" xfId="0" applyNumberFormat="1" applyFont="1" applyAlignment="1">
      <alignment vertical="center" wrapText="1"/>
    </xf>
    <xf numFmtId="0" fontId="39" fillId="0" borderId="0" xfId="0" applyNumberFormat="1" applyFont="1" applyAlignment="1">
      <alignment horizontal="center" vertical="center" wrapText="1"/>
    </xf>
    <xf numFmtId="49" fontId="40" fillId="14" borderId="0" xfId="0" applyNumberFormat="1" applyFont="1" applyFill="1">
      <alignment vertical="top"/>
    </xf>
    <xf numFmtId="49" fontId="40" fillId="0" borderId="0" xfId="0" applyNumberFormat="1" applyFont="1">
      <alignment vertical="top"/>
    </xf>
    <xf numFmtId="0" fontId="36" fillId="0" borderId="0" xfId="0" applyNumberFormat="1" applyFont="1" applyAlignment="1">
      <alignment vertical="center"/>
    </xf>
    <xf numFmtId="49" fontId="0" fillId="13" borderId="8" xfId="0" applyNumberFormat="1" applyFont="1" applyFill="1" applyBorder="1" applyAlignment="1">
      <alignment horizontal="right" vertical="center" wrapText="1"/>
    </xf>
    <xf numFmtId="49" fontId="0" fillId="0" borderId="0" xfId="0" applyNumberFormat="1" applyFont="1">
      <alignment vertical="top"/>
    </xf>
    <xf numFmtId="0" fontId="18" fillId="0" borderId="4" xfId="0" applyNumberFormat="1" applyFont="1" applyBorder="1" applyAlignment="1">
      <alignment vertical="center" wrapText="1"/>
    </xf>
    <xf numFmtId="0" fontId="5" fillId="0" borderId="0" xfId="0" applyNumberFormat="1" applyFont="1" applyAlignment="1">
      <alignment vertical="top" wrapText="1"/>
    </xf>
    <xf numFmtId="0" fontId="6" fillId="0" borderId="4"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5" xfId="0" applyNumberFormat="1" applyFont="1" applyBorder="1" applyAlignment="1">
      <alignment horizontal="left" vertical="center" wrapText="1" indent="1"/>
    </xf>
    <xf numFmtId="0" fontId="0" fillId="15" borderId="5" xfId="0" applyNumberFormat="1" applyFont="1" applyFill="1" applyBorder="1" applyAlignment="1" applyProtection="1">
      <alignment horizontal="left" vertical="center" wrapText="1" indent="2"/>
      <protection locked="0"/>
    </xf>
    <xf numFmtId="49" fontId="37" fillId="0" borderId="0" xfId="0" applyNumberFormat="1" applyFont="1">
      <alignment vertical="top"/>
    </xf>
    <xf numFmtId="0" fontId="0" fillId="0" borderId="5" xfId="0" applyNumberFormat="1" applyFont="1" applyBorder="1" applyAlignment="1">
      <alignment vertical="center" wrapText="1"/>
    </xf>
    <xf numFmtId="0" fontId="0" fillId="0" borderId="5" xfId="0" applyNumberFormat="1" applyFont="1" applyBorder="1" applyAlignment="1">
      <alignment horizontal="center" vertical="center" wrapText="1"/>
    </xf>
    <xf numFmtId="0" fontId="0"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3"/>
    </xf>
    <xf numFmtId="49" fontId="34" fillId="13" borderId="6"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indent="2"/>
    </xf>
    <xf numFmtId="0" fontId="0" fillId="0" borderId="5" xfId="0" applyNumberFormat="1" applyFont="1" applyBorder="1" applyAlignment="1">
      <alignment horizontal="left" vertical="center" wrapText="1" indent="1"/>
    </xf>
    <xf numFmtId="0" fontId="0" fillId="0" borderId="5" xfId="0" applyNumberFormat="1" applyFont="1" applyBorder="1" applyAlignment="1">
      <alignment horizontal="left" vertical="center" wrapText="1" indent="2"/>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vertical="top" wrapText="1"/>
    </xf>
    <xf numFmtId="0" fontId="27" fillId="0" borderId="0" xfId="0" applyNumberFormat="1" applyFont="1" applyAlignment="1">
      <alignment horizontal="center" vertical="center" wrapText="1"/>
    </xf>
    <xf numFmtId="49" fontId="0" fillId="0" borderId="10" xfId="0" applyNumberFormat="1" applyFont="1" applyBorder="1">
      <alignment vertical="top"/>
    </xf>
    <xf numFmtId="0" fontId="37" fillId="0" borderId="0" xfId="0" applyNumberFormat="1" applyFont="1" applyAlignment="1">
      <alignment vertical="center"/>
    </xf>
    <xf numFmtId="0" fontId="19" fillId="0" borderId="0" xfId="0" applyNumberFormat="1" applyFont="1" applyAlignment="1">
      <alignment vertical="center"/>
    </xf>
    <xf numFmtId="49" fontId="16" fillId="15" borderId="5" xfId="0" applyNumberFormat="1" applyFont="1" applyFill="1" applyBorder="1" applyAlignment="1" applyProtection="1">
      <alignment horizontal="left" vertical="center" wrapText="1"/>
      <protection locked="0"/>
    </xf>
    <xf numFmtId="49" fontId="34" fillId="13" borderId="6" xfId="0" applyNumberFormat="1" applyFont="1" applyFill="1" applyBorder="1" applyAlignment="1">
      <alignment horizontal="center" vertical="top"/>
    </xf>
    <xf numFmtId="0" fontId="0" fillId="11" borderId="5" xfId="0" applyNumberFormat="1" applyFont="1" applyFill="1" applyBorder="1" applyAlignment="1">
      <alignment horizontal="left" vertical="center" wrapText="1" indent="1"/>
    </xf>
    <xf numFmtId="49" fontId="6" fillId="15" borderId="5" xfId="0" applyNumberFormat="1" applyFont="1" applyFill="1" applyBorder="1" applyAlignment="1" applyProtection="1">
      <alignment horizontal="left" vertical="center" wrapText="1" indent="1"/>
      <protection locked="0"/>
    </xf>
    <xf numFmtId="49" fontId="6" fillId="11" borderId="5" xfId="0" applyNumberFormat="1" applyFont="1" applyFill="1" applyBorder="1" applyAlignment="1">
      <alignment horizontal="left" vertical="center" wrapText="1" indent="1"/>
    </xf>
    <xf numFmtId="0" fontId="6" fillId="0" borderId="5" xfId="0" applyNumberFormat="1" applyFont="1" applyBorder="1" applyAlignment="1">
      <alignment horizontal="center" vertical="center" wrapText="1"/>
    </xf>
    <xf numFmtId="0" fontId="5" fillId="0" borderId="0" xfId="0" applyNumberFormat="1" applyFont="1" applyAlignment="1">
      <alignmen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49" fontId="26" fillId="0" borderId="8" xfId="0" applyNumberFormat="1" applyFont="1" applyBorder="1" applyAlignment="1">
      <alignment horizontal="center" vertical="center" wrapText="1"/>
    </xf>
    <xf numFmtId="0" fontId="41" fillId="0" borderId="0" xfId="0" applyNumberFormat="1" applyFont="1" applyAlignment="1">
      <alignment vertical="center"/>
    </xf>
    <xf numFmtId="0" fontId="42"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1"/>
    </xf>
    <xf numFmtId="0" fontId="43" fillId="0" borderId="0" xfId="0" applyNumberFormat="1" applyFont="1" applyAlignment="1">
      <alignment horizontal="left" vertical="center" wrapText="1" indent="1"/>
    </xf>
    <xf numFmtId="0" fontId="44" fillId="0" borderId="0" xfId="0" applyNumberFormat="1" applyFont="1" applyAlignment="1">
      <alignment horizontal="left" vertical="center" inden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47" fillId="10" borderId="0" xfId="0" applyNumberFormat="1" applyFont="1" applyFill="1" applyAlignment="1">
      <alignment horizontal="right" vertical="center" wrapText="1" indent="1"/>
    </xf>
    <xf numFmtId="0" fontId="49" fillId="10" borderId="0" xfId="0" applyNumberFormat="1" applyFont="1" applyFill="1" applyAlignment="1">
      <alignment horizontal="center" vertical="center" wrapText="1"/>
    </xf>
    <xf numFmtId="0" fontId="45" fillId="10" borderId="0" xfId="0" applyNumberFormat="1" applyFont="1" applyFill="1" applyAlignment="1">
      <alignment horizontal="center" vertical="center" wrapText="1"/>
    </xf>
    <xf numFmtId="0" fontId="47" fillId="10" borderId="0" xfId="0" applyNumberFormat="1" applyFont="1" applyFill="1" applyAlignment="1">
      <alignment horizontal="left" vertical="center" wrapText="1" indent="1"/>
    </xf>
    <xf numFmtId="0" fontId="50" fillId="0" borderId="0" xfId="0" applyNumberFormat="1" applyFont="1" applyAlignment="1">
      <alignment horizontal="left" vertical="center" wrapText="1"/>
    </xf>
    <xf numFmtId="0" fontId="50" fillId="0" borderId="0" xfId="0" applyNumberFormat="1" applyFont="1" applyAlignment="1">
      <alignment vertical="center" wrapText="1"/>
    </xf>
    <xf numFmtId="0" fontId="47" fillId="0" borderId="0" xfId="0" applyNumberFormat="1" applyFont="1" applyAlignment="1">
      <alignment vertical="center" wrapText="1"/>
    </xf>
    <xf numFmtId="0" fontId="47"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indent="1"/>
    </xf>
    <xf numFmtId="0" fontId="37" fillId="0" borderId="15" xfId="0" applyNumberFormat="1" applyFont="1" applyBorder="1" applyAlignment="1">
      <alignment vertical="center"/>
    </xf>
    <xf numFmtId="0" fontId="6"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xf>
    <xf numFmtId="49" fontId="0" fillId="0" borderId="5"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5" xfId="0" applyNumberFormat="1" applyFont="1" applyBorder="1" applyAlignment="1">
      <alignment vertical="top" wrapText="1"/>
    </xf>
    <xf numFmtId="0" fontId="0" fillId="15" borderId="5" xfId="0" applyNumberFormat="1" applyFont="1" applyFill="1" applyBorder="1" applyAlignment="1" applyProtection="1">
      <alignment horizontal="left" vertical="center" wrapText="1"/>
      <protection locked="0"/>
    </xf>
    <xf numFmtId="0" fontId="6" fillId="0" borderId="5" xfId="0" applyNumberFormat="1" applyFont="1" applyBorder="1" applyAlignment="1">
      <alignment horizontal="left" vertical="top"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18" fillId="13" borderId="7" xfId="0" applyNumberFormat="1" applyFont="1" applyFill="1" applyBorder="1" applyAlignment="1">
      <alignment horizontal="center" vertical="center"/>
    </xf>
    <xf numFmtId="49" fontId="30" fillId="13" borderId="6" xfId="0" applyNumberFormat="1" applyFont="1" applyFill="1" applyBorder="1" applyAlignment="1">
      <alignment horizontal="left" vertical="center"/>
    </xf>
    <xf numFmtId="0" fontId="6" fillId="0" borderId="0" xfId="0" applyNumberFormat="1" applyFont="1" applyAlignment="1"/>
    <xf numFmtId="0" fontId="51" fillId="0" borderId="0" xfId="0" applyNumberFormat="1" applyFont="1" applyAlignment="1">
      <alignment vertical="center" wrapText="1"/>
    </xf>
    <xf numFmtId="0" fontId="51" fillId="0" borderId="0" xfId="0" applyNumberFormat="1" applyFont="1" applyAlignment="1">
      <alignment vertical="center" wrapText="1"/>
    </xf>
    <xf numFmtId="0" fontId="51" fillId="0" borderId="0" xfId="0" applyNumberFormat="1" applyFont="1" applyAlignment="1"/>
    <xf numFmtId="49" fontId="52" fillId="0" borderId="0" xfId="0" applyNumberFormat="1" applyFont="1">
      <alignment vertical="top"/>
    </xf>
    <xf numFmtId="49" fontId="53" fillId="0" borderId="0" xfId="0" applyNumberFormat="1" applyFont="1">
      <alignment vertical="top"/>
    </xf>
    <xf numFmtId="0" fontId="6"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37" fillId="0" borderId="0" xfId="0" applyNumberFormat="1" applyFont="1">
      <alignment vertical="top"/>
    </xf>
    <xf numFmtId="49" fontId="37" fillId="0" borderId="0" xfId="0" applyNumberFormat="1" applyFont="1">
      <alignment vertical="top"/>
    </xf>
    <xf numFmtId="0" fontId="0" fillId="0" borderId="0" xfId="0" applyNumberFormat="1" applyFont="1">
      <alignment vertical="top"/>
    </xf>
    <xf numFmtId="49" fontId="6" fillId="0" borderId="5" xfId="0" applyNumberFormat="1" applyFont="1" applyBorder="1" applyAlignment="1">
      <alignment horizontal="right" vertical="center"/>
    </xf>
    <xf numFmtId="0" fontId="37" fillId="0" borderId="0" xfId="0" applyNumberFormat="1" applyFont="1" applyAlignment="1">
      <alignment vertical="center"/>
    </xf>
    <xf numFmtId="0" fontId="37" fillId="0" borderId="0" xfId="0" applyNumberFormat="1" applyFont="1" applyAlignment="1">
      <alignment vertical="center" wrapText="1"/>
    </xf>
    <xf numFmtId="0" fontId="6" fillId="0" borderId="5" xfId="0" applyNumberFormat="1" applyFont="1" applyBorder="1" applyAlignment="1">
      <alignment horizontal="left" vertical="center" wrapText="1"/>
    </xf>
    <xf numFmtId="0" fontId="55" fillId="0" borderId="0" xfId="0" applyNumberFormat="1" applyFont="1" applyAlignment="1">
      <alignment vertical="center"/>
    </xf>
    <xf numFmtId="49" fontId="2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6" fillId="10" borderId="5" xfId="0" applyNumberFormat="1" applyFont="1" applyFill="1" applyBorder="1" applyAlignment="1">
      <alignment horizontal="left" vertical="center" wrapText="1" indent="5"/>
    </xf>
    <xf numFmtId="49" fontId="30" fillId="13" borderId="8" xfId="0" applyNumberFormat="1" applyFont="1" applyFill="1" applyBorder="1" applyAlignment="1">
      <alignment horizontal="left" vertical="center" indent="5"/>
    </xf>
    <xf numFmtId="49" fontId="30" fillId="13" borderId="8" xfId="0" applyNumberFormat="1" applyFont="1" applyFill="1" applyBorder="1" applyAlignment="1">
      <alignment horizontal="left" vertical="center" indent="6"/>
    </xf>
    <xf numFmtId="0" fontId="6" fillId="0" borderId="5" xfId="0" applyNumberFormat="1" applyFont="1" applyBorder="1" applyAlignment="1">
      <alignment vertical="center" wrapText="1"/>
    </xf>
    <xf numFmtId="0" fontId="5" fillId="0" borderId="0" xfId="0" applyNumberFormat="1" applyFont="1" applyAlignment="1">
      <alignment vertical="center" wrapText="1"/>
    </xf>
    <xf numFmtId="0" fontId="56" fillId="10" borderId="0" xfId="0" applyNumberFormat="1" applyFont="1" applyFill="1" applyAlignment="1">
      <alignment vertical="center" wrapText="1"/>
    </xf>
    <xf numFmtId="49" fontId="6" fillId="0" borderId="5" xfId="0" applyNumberFormat="1" applyFont="1" applyBorder="1" applyAlignment="1">
      <alignment horizontal="center" vertical="center" wrapText="1"/>
    </xf>
    <xf numFmtId="49" fontId="0" fillId="0" borderId="0" xfId="0" applyNumberFormat="1" applyFont="1">
      <alignment vertical="top"/>
    </xf>
    <xf numFmtId="49" fontId="30" fillId="13" borderId="7" xfId="0" applyNumberFormat="1" applyFont="1" applyFill="1" applyBorder="1" applyAlignment="1">
      <alignment horizontal="left" vertical="center" indent="1"/>
    </xf>
    <xf numFmtId="0" fontId="0" fillId="10" borderId="5" xfId="0" applyNumberFormat="1" applyFont="1" applyFill="1" applyBorder="1" applyAlignment="1">
      <alignment horizontal="right" vertical="center" wrapText="1" indent="1"/>
    </xf>
    <xf numFmtId="49" fontId="0" fillId="0" borderId="5" xfId="0" applyNumberFormat="1" applyFont="1" applyBorder="1" applyAlignment="1">
      <alignment horizontal="left" vertical="center"/>
    </xf>
    <xf numFmtId="0" fontId="6" fillId="0" borderId="5" xfId="0" applyNumberFormat="1" applyFont="1" applyBorder="1" applyAlignment="1">
      <alignment vertical="top" wrapText="1"/>
    </xf>
    <xf numFmtId="0" fontId="6" fillId="0" borderId="5" xfId="0" applyNumberFormat="1" applyFont="1" applyBorder="1" applyAlignment="1">
      <alignment vertical="center" wrapText="1"/>
    </xf>
    <xf numFmtId="0" fontId="54" fillId="0" borderId="0" xfId="0" applyNumberFormat="1" applyFont="1" applyAlignment="1">
      <alignment vertical="center"/>
    </xf>
    <xf numFmtId="0" fontId="6" fillId="0" borderId="5" xfId="0" applyNumberFormat="1" applyFont="1" applyBorder="1" applyAlignment="1">
      <alignment horizontal="left" vertical="center" wrapText="1" indent="6"/>
    </xf>
    <xf numFmtId="0" fontId="6" fillId="0" borderId="10" xfId="0" applyNumberFormat="1" applyFont="1" applyBorder="1" applyAlignment="1">
      <alignment vertical="center" wrapText="1"/>
    </xf>
    <xf numFmtId="0" fontId="6" fillId="0" borderId="16" xfId="0" applyNumberFormat="1" applyFont="1" applyBorder="1" applyAlignment="1">
      <alignment vertical="center" wrapText="1"/>
    </xf>
    <xf numFmtId="49" fontId="0" fillId="13" borderId="6" xfId="0" applyNumberFormat="1" applyFont="1" applyFill="1" applyBorder="1" applyAlignment="1">
      <alignment horizontal="center" vertical="center" wrapText="1"/>
    </xf>
    <xf numFmtId="0" fontId="0" fillId="0" borderId="7" xfId="0" applyNumberFormat="1" applyFont="1" applyBorder="1" applyAlignment="1">
      <alignment vertical="center"/>
    </xf>
    <xf numFmtId="0" fontId="0" fillId="10" borderId="7" xfId="0" applyNumberFormat="1" applyFont="1" applyFill="1" applyBorder="1" applyAlignment="1">
      <alignment horizontal="right" vertical="center" wrapText="1" indent="1"/>
    </xf>
    <xf numFmtId="49" fontId="22" fillId="0" borderId="0" xfId="0" applyNumberFormat="1" applyFont="1">
      <alignment vertical="top"/>
    </xf>
    <xf numFmtId="0" fontId="29" fillId="10" borderId="0" xfId="0" applyNumberFormat="1" applyFont="1" applyFill="1" applyAlignment="1">
      <alignment vertical="center" wrapText="1"/>
    </xf>
    <xf numFmtId="0" fontId="6" fillId="10" borderId="5" xfId="0" applyNumberFormat="1" applyFont="1" applyFill="1" applyBorder="1" applyAlignment="1">
      <alignment horizontal="left" vertical="center" wrapText="1" indent="1"/>
    </xf>
    <xf numFmtId="0" fontId="6" fillId="10" borderId="5" xfId="0" applyNumberFormat="1" applyFont="1" applyFill="1" applyBorder="1" applyAlignment="1">
      <alignment horizontal="left" vertical="center" wrapText="1" indent="2"/>
    </xf>
    <xf numFmtId="0" fontId="6" fillId="10" borderId="5" xfId="0" applyNumberFormat="1" applyFont="1" applyFill="1" applyBorder="1" applyAlignment="1">
      <alignment horizontal="left" vertical="center" wrapText="1" indent="3"/>
    </xf>
    <xf numFmtId="0" fontId="6" fillId="0" borderId="5" xfId="0" applyNumberFormat="1" applyFont="1" applyBorder="1" applyAlignment="1">
      <alignment horizontal="left" vertical="center" wrapText="1" indent="4"/>
    </xf>
    <xf numFmtId="49" fontId="30" fillId="13" borderId="7" xfId="0" applyNumberFormat="1" applyFont="1" applyFill="1" applyBorder="1" applyAlignment="1">
      <alignment vertical="center" wrapText="1"/>
    </xf>
    <xf numFmtId="49" fontId="30" fillId="13" borderId="8" xfId="0" applyNumberFormat="1" applyFont="1" applyFill="1" applyBorder="1" applyAlignment="1">
      <alignment vertical="center"/>
    </xf>
    <xf numFmtId="49" fontId="30" fillId="13" borderId="8" xfId="0" applyNumberFormat="1" applyFont="1" applyFill="1" applyBorder="1" applyAlignment="1">
      <alignment vertical="center" wrapText="1"/>
    </xf>
    <xf numFmtId="0" fontId="6" fillId="0" borderId="0" xfId="0" applyNumberFormat="1" applyFont="1" applyAlignment="1">
      <alignment vertical="top" wrapText="1"/>
    </xf>
    <xf numFmtId="49" fontId="30" fillId="13" borderId="7"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3" borderId="6" xfId="0" applyNumberFormat="1" applyFont="1" applyFill="1" applyBorder="1" applyAlignment="1">
      <alignment horizontal="center" vertical="center" wrapText="1"/>
    </xf>
    <xf numFmtId="4" fontId="6" fillId="0" borderId="5"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7" fillId="0" borderId="5" xfId="0" applyNumberFormat="1" applyFont="1" applyBorder="1" applyAlignment="1">
      <alignment horizontal="center" vertical="center" wrapText="1"/>
    </xf>
    <xf numFmtId="0" fontId="0" fillId="0" borderId="0" xfId="0" applyNumberFormat="1" applyFont="1" applyAlignment="1">
      <alignment vertical="center"/>
    </xf>
    <xf numFmtId="0" fontId="0" fillId="0" borderId="5" xfId="0" applyNumberFormat="1" applyFont="1" applyBorder="1" applyAlignment="1">
      <alignment horizontal="left" vertical="center" wrapText="1" indent="1"/>
    </xf>
    <xf numFmtId="49" fontId="57" fillId="0" borderId="7" xfId="0" applyNumberFormat="1" applyFont="1" applyBorder="1" applyAlignment="1">
      <alignment horizontal="left" vertical="center" wrapText="1"/>
    </xf>
    <xf numFmtId="0" fontId="54" fillId="0" borderId="5" xfId="0" applyNumberFormat="1" applyFont="1" applyBorder="1" applyAlignment="1">
      <alignment horizontal="left" vertical="center" wrapText="1" indent="2"/>
    </xf>
    <xf numFmtId="49" fontId="54" fillId="0" borderId="5" xfId="0" applyNumberFormat="1"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10" xfId="0" applyNumberFormat="1" applyFont="1" applyBorder="1" applyAlignment="1">
      <alignment vertical="center" wrapText="1"/>
    </xf>
    <xf numFmtId="49" fontId="34" fillId="13" borderId="8" xfId="0" applyNumberFormat="1" applyFont="1" applyFill="1" applyBorder="1" applyAlignment="1">
      <alignment horizontal="center" vertical="top"/>
    </xf>
    <xf numFmtId="0" fontId="6" fillId="0" borderId="16" xfId="0" applyNumberFormat="1" applyFont="1" applyBorder="1" applyAlignment="1">
      <alignment vertical="top" wrapText="1"/>
    </xf>
    <xf numFmtId="0" fontId="0" fillId="0" borderId="0" xfId="0" applyNumberFormat="1" applyFont="1" applyAlignment="1">
      <alignment horizontal="left" vertical="top" wrapText="1"/>
    </xf>
    <xf numFmtId="0" fontId="6" fillId="0" borderId="10" xfId="0" applyNumberFormat="1" applyFont="1" applyBorder="1" applyAlignment="1">
      <alignment vertical="top" wrapText="1"/>
    </xf>
    <xf numFmtId="49" fontId="6" fillId="0" borderId="0" xfId="0" applyNumberFormat="1" applyFont="1">
      <alignment vertical="top"/>
    </xf>
    <xf numFmtId="0" fontId="29" fillId="0" borderId="0" xfId="0" applyNumberFormat="1" applyFont="1" applyAlignment="1">
      <alignment vertical="center" wrapText="1"/>
    </xf>
    <xf numFmtId="0" fontId="6" fillId="0" borderId="5" xfId="0" applyNumberFormat="1" applyFont="1" applyBorder="1" applyAlignment="1">
      <alignment vertical="center" wrapText="1"/>
    </xf>
    <xf numFmtId="49" fontId="6" fillId="0" borderId="0" xfId="0" applyNumberFormat="1" applyFont="1" applyAlignment="1">
      <alignment horizontal="center" vertical="center" wrapText="1"/>
    </xf>
    <xf numFmtId="0" fontId="6" fillId="13" borderId="7"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0" fillId="13" borderId="8" xfId="0" applyNumberFormat="1" applyFont="1" applyFill="1" applyBorder="1" applyAlignment="1">
      <alignment horizontal="left" vertical="center" indent="2"/>
    </xf>
    <xf numFmtId="0" fontId="37" fillId="0" borderId="0" xfId="0" applyNumberFormat="1" applyFont="1" applyAlignment="1">
      <alignment vertical="center"/>
    </xf>
    <xf numFmtId="0" fontId="59"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27" fillId="0" borderId="0" xfId="0" applyNumberFormat="1" applyFont="1" applyAlignment="1">
      <alignment vertical="center" wrapText="1"/>
    </xf>
    <xf numFmtId="49" fontId="6" fillId="0" borderId="17" xfId="0" applyNumberFormat="1" applyFont="1" applyBorder="1">
      <alignment vertical="top"/>
    </xf>
    <xf numFmtId="0" fontId="37" fillId="0" borderId="17" xfId="0" applyNumberFormat="1" applyFont="1" applyBorder="1" applyAlignment="1">
      <alignment horizontal="center" vertical="center" wrapText="1"/>
    </xf>
    <xf numFmtId="0" fontId="37" fillId="0" borderId="17" xfId="0" applyNumberFormat="1" applyFont="1" applyBorder="1" applyAlignment="1">
      <alignment vertical="center" wrapText="1"/>
    </xf>
    <xf numFmtId="49" fontId="22" fillId="0" borderId="0" xfId="0" applyNumberFormat="1" applyFont="1">
      <alignment vertical="top"/>
    </xf>
    <xf numFmtId="49" fontId="0" fillId="0" borderId="17"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2" fillId="0" borderId="0" xfId="0" applyNumberFormat="1" applyFont="1" applyAlignment="1">
      <alignment vertical="center" wrapText="1"/>
    </xf>
    <xf numFmtId="0" fontId="6" fillId="10" borderId="0" xfId="0" applyNumberFormat="1" applyFont="1" applyFill="1" applyAlignment="1">
      <alignment vertical="center" wrapText="1"/>
    </xf>
    <xf numFmtId="49" fontId="30" fillId="13" borderId="8" xfId="0" applyNumberFormat="1" applyFont="1" applyFill="1" applyBorder="1" applyAlignment="1">
      <alignment horizontal="left" vertical="center" indent="4"/>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37" fillId="0" borderId="0" xfId="0" applyNumberFormat="1" applyFont="1" applyAlignment="1">
      <alignment vertical="center"/>
    </xf>
    <xf numFmtId="0" fontId="6" fillId="0" borderId="0" xfId="0" applyNumberFormat="1" applyFont="1" applyAlignment="1">
      <alignment vertical="top" wrapText="1"/>
    </xf>
    <xf numFmtId="49" fontId="6" fillId="0" borderId="5" xfId="0" applyNumberFormat="1" applyFont="1" applyBorder="1" applyAlignment="1">
      <alignment horizontal="right" vertical="top"/>
    </xf>
    <xf numFmtId="49" fontId="6" fillId="0" borderId="10" xfId="0" applyNumberFormat="1" applyFont="1" applyBorder="1" applyAlignment="1">
      <alignment horizontal="right" vertical="top"/>
    </xf>
    <xf numFmtId="49" fontId="30" fillId="13" borderId="8"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9" fillId="0" borderId="0" xfId="0" applyNumberFormat="1" applyFont="1">
      <alignment vertical="top"/>
    </xf>
    <xf numFmtId="0" fontId="29" fillId="10" borderId="0" xfId="0" applyNumberFormat="1" applyFont="1" applyFill="1" applyAlignment="1">
      <alignment vertical="center" wrapText="1"/>
    </xf>
    <xf numFmtId="49" fontId="6" fillId="15" borderId="5" xfId="0" applyNumberFormat="1" applyFont="1" applyFill="1" applyBorder="1" applyAlignment="1" applyProtection="1">
      <alignment horizontal="left" vertical="center" wrapText="1"/>
      <protection locked="0"/>
    </xf>
    <xf numFmtId="49" fontId="6" fillId="12" borderId="5" xfId="0" applyNumberFormat="1" applyFont="1" applyFill="1" applyBorder="1" applyAlignment="1" applyProtection="1">
      <alignment horizontal="left" vertical="center" wrapText="1"/>
      <protection locked="0"/>
    </xf>
    <xf numFmtId="49" fontId="37" fillId="0" borderId="0" xfId="0" applyNumberFormat="1" applyFont="1">
      <alignment vertical="top"/>
    </xf>
    <xf numFmtId="49" fontId="37" fillId="0" borderId="0" xfId="0" applyNumberFormat="1" applyFont="1">
      <alignment vertical="top"/>
    </xf>
    <xf numFmtId="49" fontId="6" fillId="15" borderId="5" xfId="0" applyNumberFormat="1" applyFont="1" applyFill="1" applyBorder="1" applyAlignment="1" applyProtection="1">
      <alignment horizontal="left" vertical="center" wrapText="1"/>
      <protection locked="0"/>
    </xf>
    <xf numFmtId="49" fontId="16" fillId="15" borderId="5" xfId="0" applyNumberFormat="1" applyFont="1" applyFill="1" applyBorder="1" applyAlignment="1" applyProtection="1">
      <alignment horizontal="left" vertical="center" wrapText="1"/>
      <protection locked="0"/>
    </xf>
    <xf numFmtId="49" fontId="0" fillId="0" borderId="18" xfId="0" applyNumberFormat="1" applyFont="1" applyBorder="1" applyAlignment="1">
      <alignment horizontal="center" vertical="center"/>
    </xf>
    <xf numFmtId="167" fontId="6" fillId="0" borderId="5" xfId="0" applyNumberFormat="1" applyFont="1" applyBorder="1" applyAlignment="1">
      <alignment horizontal="right" vertical="center" wrapText="1"/>
    </xf>
    <xf numFmtId="49" fontId="16" fillId="15" borderId="7"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0" fontId="0" fillId="0" borderId="5"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9" xfId="0" applyNumberFormat="1" applyFont="1" applyFill="1" applyBorder="1" applyAlignment="1">
      <alignment horizontal="right" vertical="center" wrapText="1" indent="1"/>
    </xf>
    <xf numFmtId="0" fontId="0" fillId="10" borderId="19"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30" fillId="13" borderId="8" xfId="0" applyNumberFormat="1" applyFont="1" applyFill="1" applyBorder="1" applyAlignment="1">
      <alignment horizontal="left" vertical="center"/>
    </xf>
    <xf numFmtId="0" fontId="6" fillId="0" borderId="12" xfId="0" applyNumberFormat="1" applyFont="1" applyBorder="1" applyAlignment="1">
      <alignment vertical="center" wrapText="1"/>
    </xf>
    <xf numFmtId="0" fontId="6" fillId="0" borderId="0" xfId="0" applyNumberFormat="1" applyFont="1" applyAlignment="1">
      <alignment horizontal="left" vertical="center" wrapText="1" indent="1"/>
    </xf>
    <xf numFmtId="0" fontId="58" fillId="0" borderId="0" xfId="0" applyNumberFormat="1" applyFont="1" applyAlignment="1">
      <alignment vertical="center" wrapText="1"/>
    </xf>
    <xf numFmtId="49" fontId="0" fillId="10" borderId="7" xfId="0" applyNumberFormat="1" applyFont="1" applyFill="1" applyBorder="1" applyAlignment="1">
      <alignment horizontal="center" vertical="center" wrapText="1"/>
    </xf>
    <xf numFmtId="49" fontId="30" fillId="13" borderId="20" xfId="0" applyNumberFormat="1" applyFont="1" applyFill="1" applyBorder="1" applyAlignment="1">
      <alignment horizontal="left" vertical="center" indent="2"/>
    </xf>
    <xf numFmtId="49" fontId="16" fillId="12" borderId="5" xfId="0" applyNumberFormat="1" applyFont="1" applyFill="1" applyBorder="1" applyAlignment="1" applyProtection="1">
      <alignment horizontal="left" vertical="center" wrapText="1"/>
      <protection locked="0"/>
    </xf>
    <xf numFmtId="49" fontId="6" fillId="0" borderId="12" xfId="0" applyNumberFormat="1" applyFont="1" applyBorder="1">
      <alignment vertical="top"/>
    </xf>
    <xf numFmtId="49" fontId="60" fillId="13" borderId="6" xfId="0" applyNumberFormat="1" applyFont="1" applyFill="1" applyBorder="1" applyAlignment="1">
      <alignment horizontal="left" vertical="center" indent="1"/>
    </xf>
    <xf numFmtId="49" fontId="60" fillId="13" borderId="8" xfId="0" applyNumberFormat="1" applyFont="1" applyFill="1" applyBorder="1" applyAlignment="1">
      <alignment horizontal="left" vertical="center" indent="1"/>
    </xf>
    <xf numFmtId="49" fontId="18" fillId="13" borderId="7" xfId="0" applyNumberFormat="1" applyFont="1" applyFill="1" applyBorder="1" applyAlignment="1">
      <alignment horizontal="center" vertical="center"/>
    </xf>
    <xf numFmtId="49" fontId="60" fillId="13" borderId="8" xfId="0" applyNumberFormat="1" applyFont="1" applyFill="1" applyBorder="1" applyAlignment="1">
      <alignment vertical="center"/>
    </xf>
    <xf numFmtId="0" fontId="0" fillId="7" borderId="5" xfId="0" applyNumberFormat="1" applyFont="1" applyFill="1" applyBorder="1" applyAlignment="1">
      <alignment horizontal="right" vertical="center"/>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24" fillId="10" borderId="0" xfId="0" applyNumberFormat="1" applyFont="1" applyFill="1" applyAlignment="1">
      <alignment vertical="center" wrapText="1"/>
    </xf>
    <xf numFmtId="0" fontId="22" fillId="0" borderId="0" xfId="0" applyNumberFormat="1" applyFont="1" applyAlignment="1">
      <alignment horizontal="center" vertical="center" wrapText="1"/>
    </xf>
    <xf numFmtId="0" fontId="0" fillId="0" borderId="0" xfId="0" applyNumberFormat="1" applyFont="1" applyAlignment="1">
      <alignment vertical="center" wrapText="1"/>
    </xf>
    <xf numFmtId="0" fontId="22" fillId="0" borderId="0" xfId="0" applyNumberFormat="1" applyFont="1" applyAlignment="1">
      <alignment horizontal="left" vertical="center" wrapText="1"/>
    </xf>
    <xf numFmtId="0" fontId="0" fillId="0" borderId="5" xfId="0" applyNumberFormat="1" applyFont="1" applyBorder="1" applyAlignment="1">
      <alignment horizontal="center" vertical="center" wrapText="1"/>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0" fontId="36" fillId="0" borderId="0" xfId="0" applyNumberFormat="1" applyFont="1" applyAlignment="1">
      <alignment vertical="center" wrapText="1"/>
    </xf>
    <xf numFmtId="49" fontId="37" fillId="0" borderId="0" xfId="0" applyNumberFormat="1" applyFont="1">
      <alignment vertical="top"/>
    </xf>
    <xf numFmtId="0" fontId="61" fillId="0" borderId="0" xfId="0" applyNumberFormat="1" applyFont="1" applyAlignment="1">
      <alignment vertical="center" wrapText="1"/>
    </xf>
    <xf numFmtId="49" fontId="18" fillId="13" borderId="7" xfId="0" applyNumberFormat="1" applyFont="1" applyFill="1" applyBorder="1" applyAlignment="1">
      <alignment horizontal="right" vertical="center" wrapText="1"/>
    </xf>
    <xf numFmtId="49" fontId="36" fillId="0" borderId="0" xfId="0" applyNumberFormat="1" applyFont="1">
      <alignment vertical="top"/>
    </xf>
    <xf numFmtId="49" fontId="0" fillId="0" borderId="0" xfId="0" applyNumberFormat="1" applyFont="1">
      <alignment vertical="top"/>
    </xf>
    <xf numFmtId="49" fontId="0" fillId="13" borderId="6" xfId="0" applyNumberFormat="1" applyFont="1" applyFill="1" applyBorder="1" applyAlignment="1">
      <alignment horizontal="right" vertical="center" wrapText="1"/>
    </xf>
    <xf numFmtId="0" fontId="0" fillId="0" borderId="5" xfId="0" applyNumberFormat="1" applyFont="1" applyBorder="1" applyAlignment="1">
      <alignment horizontal="center" vertical="center" wrapText="1"/>
    </xf>
    <xf numFmtId="0" fontId="45" fillId="0" borderId="0" xfId="0" applyNumberFormat="1" applyFont="1" applyAlignment="1">
      <alignment horizontal="left" vertical="center" wrapText="1"/>
    </xf>
    <xf numFmtId="0" fontId="46" fillId="0" borderId="0" xfId="0" applyNumberFormat="1" applyFont="1" applyAlignment="1">
      <alignment vertical="center" wrapText="1"/>
    </xf>
    <xf numFmtId="0" fontId="47" fillId="10" borderId="0" xfId="0" applyNumberFormat="1" applyFont="1" applyFill="1" applyAlignment="1">
      <alignment vertical="center" wrapText="1"/>
    </xf>
    <xf numFmtId="0" fontId="48" fillId="10" borderId="0" xfId="0" applyNumberFormat="1" applyFont="1" applyFill="1" applyAlignment="1">
      <alignment horizontal="right" vertical="center" wrapText="1" indent="1"/>
    </xf>
    <xf numFmtId="0" fontId="0" fillId="0" borderId="7" xfId="0" applyNumberFormat="1" applyFont="1" applyBorder="1" applyAlignment="1">
      <alignment horizontal="center" vertical="center" wrapText="1"/>
    </xf>
    <xf numFmtId="0" fontId="0" fillId="12" borderId="5" xfId="0" applyNumberFormat="1" applyFont="1" applyFill="1" applyBorder="1" applyAlignment="1" applyProtection="1">
      <alignment horizontal="right" vertical="center" wrapText="1"/>
      <protection locked="0"/>
    </xf>
    <xf numFmtId="3" fontId="0" fillId="15" borderId="5" xfId="0" applyNumberFormat="1" applyFont="1" applyFill="1" applyBorder="1" applyAlignment="1" applyProtection="1">
      <alignment horizontal="right" vertical="center" wrapText="1"/>
      <protection locked="0"/>
    </xf>
    <xf numFmtId="49" fontId="0" fillId="0" borderId="5" xfId="0" applyNumberFormat="1" applyFont="1" applyBorder="1" applyAlignment="1">
      <alignment horizontal="center" vertical="center" wrapText="1"/>
    </xf>
    <xf numFmtId="49" fontId="0" fillId="0" borderId="5" xfId="0" applyNumberFormat="1" applyFont="1" applyBorder="1" applyAlignment="1">
      <alignment vertical="top" wrapText="1"/>
    </xf>
    <xf numFmtId="0" fontId="0" fillId="10"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xf>
    <xf numFmtId="0" fontId="0" fillId="10" borderId="5" xfId="0" applyNumberFormat="1" applyFont="1" applyFill="1" applyBorder="1" applyAlignment="1">
      <alignment horizontal="left" vertical="center" wrapText="1" indent="2"/>
    </xf>
    <xf numFmtId="0" fontId="0" fillId="10" borderId="5" xfId="0" applyNumberFormat="1" applyFont="1" applyFill="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0" fillId="10" borderId="5" xfId="0" applyNumberFormat="1" applyFont="1" applyFill="1" applyBorder="1" applyAlignment="1">
      <alignment horizontal="left" vertical="center" wrapText="1" indent="1"/>
    </xf>
    <xf numFmtId="0" fontId="0" fillId="0" borderId="5" xfId="0" applyNumberFormat="1" applyFont="1" applyBorder="1" applyAlignment="1">
      <alignment horizontal="center" vertical="center" wrapText="1"/>
    </xf>
    <xf numFmtId="0" fontId="0" fillId="10" borderId="5" xfId="0" applyNumberFormat="1" applyFont="1" applyFill="1" applyBorder="1" applyAlignment="1">
      <alignment vertical="center" wrapText="1"/>
    </xf>
    <xf numFmtId="49" fontId="0" fillId="10" borderId="5" xfId="0" applyNumberFormat="1" applyFont="1" applyFill="1" applyBorder="1" applyAlignment="1">
      <alignment horizontal="center" vertical="center"/>
    </xf>
    <xf numFmtId="0" fontId="0" fillId="10" borderId="5"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6" fillId="10" borderId="0" xfId="0" applyNumberFormat="1" applyFont="1" applyFill="1" applyAlignment="1">
      <alignment horizontal="center" vertical="center" wrapText="1"/>
    </xf>
    <xf numFmtId="0" fontId="27" fillId="10" borderId="0" xfId="0" applyNumberFormat="1" applyFont="1" applyFill="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5" fillId="0" borderId="0" xfId="0" applyNumberFormat="1" applyFont="1" applyAlignment="1">
      <alignment vertical="center" wrapText="1"/>
    </xf>
    <xf numFmtId="0" fontId="6" fillId="10" borderId="0" xfId="0" applyNumberFormat="1" applyFont="1" applyFill="1" applyAlignment="1">
      <alignment vertical="center" wrapText="1"/>
    </xf>
    <xf numFmtId="0" fontId="62" fillId="10" borderId="0" xfId="0" applyNumberFormat="1" applyFont="1" applyFill="1" applyAlignment="1">
      <alignment horizontal="center"/>
    </xf>
    <xf numFmtId="0" fontId="62" fillId="10" borderId="0" xfId="0" applyNumberFormat="1" applyFont="1" applyFill="1" applyAlignment="1"/>
    <xf numFmtId="0" fontId="64" fillId="10" borderId="0" xfId="0" applyNumberFormat="1" applyFont="1" applyFill="1" applyAlignment="1">
      <alignment horizontal="right" vertical="center"/>
    </xf>
    <xf numFmtId="0" fontId="64"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0" fontId="6" fillId="0" borderId="5" xfId="0" applyNumberFormat="1" applyFont="1" applyBorder="1" applyAlignment="1">
      <alignment horizontal="center" vertical="center" wrapText="1"/>
    </xf>
    <xf numFmtId="0" fontId="35" fillId="0" borderId="0" xfId="0" applyNumberFormat="1" applyFont="1" applyAlignment="1">
      <alignment vertical="top" wrapText="1"/>
    </xf>
    <xf numFmtId="0" fontId="6" fillId="13" borderId="7" xfId="0" applyNumberFormat="1" applyFont="1" applyFill="1" applyBorder="1" applyAlignment="1">
      <alignment horizontal="center"/>
    </xf>
    <xf numFmtId="0" fontId="60" fillId="13" borderId="8" xfId="0" applyNumberFormat="1" applyFont="1" applyFill="1" applyBorder="1" applyAlignment="1">
      <alignment horizontal="left" vertical="center"/>
    </xf>
    <xf numFmtId="0" fontId="60" fillId="13" borderId="6" xfId="0" applyNumberFormat="1" applyFont="1" applyFill="1" applyBorder="1" applyAlignment="1">
      <alignment horizontal="left" vertical="center"/>
    </xf>
    <xf numFmtId="0" fontId="65" fillId="10" borderId="0" xfId="0" applyNumberFormat="1" applyFont="1" applyFill="1" applyAlignment="1">
      <alignment vertical="center"/>
    </xf>
    <xf numFmtId="0" fontId="65" fillId="10" borderId="0" xfId="0" applyNumberFormat="1" applyFont="1" applyFill="1" applyAlignment="1">
      <alignment vertical="center" wrapText="1"/>
    </xf>
    <xf numFmtId="49"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5" xfId="0" applyNumberFormat="1" applyFont="1" applyFill="1" applyBorder="1" applyAlignment="1">
      <alignment vertical="center" wrapText="1"/>
    </xf>
    <xf numFmtId="0" fontId="52" fillId="10" borderId="0" xfId="0" applyNumberFormat="1" applyFont="1" applyFill="1" applyAlignment="1"/>
    <xf numFmtId="0" fontId="40" fillId="10" borderId="0" xfId="0" applyNumberFormat="1" applyFont="1" applyFill="1" applyAlignment="1"/>
    <xf numFmtId="0" fontId="48" fillId="10" borderId="0" xfId="0" applyNumberFormat="1" applyFont="1" applyFill="1" applyAlignment="1">
      <alignment horizontal="center"/>
    </xf>
    <xf numFmtId="0" fontId="45" fillId="0" borderId="0" xfId="0" applyNumberFormat="1" applyFont="1" applyAlignment="1">
      <alignment vertical="center" wrapText="1"/>
    </xf>
    <xf numFmtId="0" fontId="47" fillId="0" borderId="0" xfId="0" applyNumberFormat="1" applyFont="1" applyAlignment="1">
      <alignment vertical="center" wrapText="1"/>
    </xf>
    <xf numFmtId="0" fontId="47" fillId="10" borderId="0" xfId="0" applyNumberFormat="1" applyFont="1" applyFill="1" applyAlignment="1">
      <alignment vertical="center" wrapText="1"/>
    </xf>
    <xf numFmtId="0" fontId="47" fillId="10" borderId="0" xfId="0" applyNumberFormat="1" applyFont="1" applyFill="1" applyAlignment="1">
      <alignment horizontal="right" vertical="center"/>
    </xf>
    <xf numFmtId="0" fontId="47" fillId="10" borderId="0" xfId="0" applyNumberFormat="1" applyFont="1" applyFill="1" applyAlignment="1">
      <alignment horizontal="right" vertical="center" wrapText="1"/>
    </xf>
    <xf numFmtId="4" fontId="47" fillId="0" borderId="0" xfId="0" applyNumberFormat="1" applyFont="1" applyAlignment="1">
      <alignment horizontal="right" vertical="center" wrapText="1"/>
    </xf>
    <xf numFmtId="0" fontId="47" fillId="0" borderId="0" xfId="0" applyNumberFormat="1" applyFont="1" applyAlignment="1">
      <alignment horizontal="left" vertical="center" wrapText="1" indent="1"/>
    </xf>
    <xf numFmtId="0" fontId="6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51" fillId="0" borderId="0" xfId="0" applyNumberFormat="1" applyFont="1" applyAlignment="1">
      <alignment vertical="center" wrapText="1"/>
    </xf>
    <xf numFmtId="0" fontId="37" fillId="0" borderId="0" xfId="0" applyNumberFormat="1" applyFont="1" applyAlignment="1">
      <alignment vertical="center" wrapText="1"/>
    </xf>
    <xf numFmtId="49" fontId="6" fillId="16" borderId="5" xfId="0" applyNumberFormat="1" applyFont="1" applyFill="1" applyBorder="1" applyAlignment="1">
      <alignment horizontal="left" vertical="center" wrapText="1"/>
    </xf>
    <xf numFmtId="0" fontId="51" fillId="0" borderId="0" xfId="0" applyNumberFormat="1" applyFont="1" applyAlignment="1">
      <alignment horizontal="center" vertical="center" wrapText="1"/>
    </xf>
    <xf numFmtId="0" fontId="6" fillId="10" borderId="17" xfId="0" applyNumberFormat="1" applyFont="1" applyFill="1" applyBorder="1" applyAlignment="1">
      <alignment vertical="center" wrapText="1"/>
    </xf>
    <xf numFmtId="49" fontId="26" fillId="10" borderId="8"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6" fillId="0" borderId="0" xfId="0" applyNumberFormat="1" applyFont="1" applyAlignment="1">
      <alignment horizontal="center" vertical="center" wrapText="1"/>
    </xf>
    <xf numFmtId="0" fontId="59" fillId="0" borderId="0" xfId="0" applyNumberFormat="1" applyFont="1" applyAlignment="1">
      <alignment vertical="center" wrapText="1"/>
    </xf>
    <xf numFmtId="49" fontId="59" fillId="0" borderId="5" xfId="0" applyNumberFormat="1" applyFont="1" applyBorder="1" applyAlignment="1">
      <alignment horizontal="left" vertical="center" wrapText="1"/>
    </xf>
    <xf numFmtId="0" fontId="67" fillId="10" borderId="0" xfId="0" applyNumberFormat="1" applyFont="1" applyFill="1" applyAlignment="1">
      <alignment horizontal="center" vertical="center" wrapText="1"/>
    </xf>
    <xf numFmtId="49" fontId="59" fillId="0" borderId="10" xfId="0" applyNumberFormat="1" applyFont="1" applyBorder="1" applyAlignment="1">
      <alignment horizontal="left" vertical="center" wrapText="1"/>
    </xf>
    <xf numFmtId="0" fontId="37" fillId="0" borderId="0" xfId="0" applyNumberFormat="1" applyFont="1" applyAlignment="1">
      <alignment vertical="center"/>
    </xf>
    <xf numFmtId="0" fontId="37" fillId="10" borderId="0" xfId="0" applyNumberFormat="1" applyFont="1" applyFill="1" applyAlignment="1"/>
    <xf numFmtId="0" fontId="37" fillId="10" borderId="0" xfId="0" applyNumberFormat="1" applyFont="1" applyFill="1" applyAlignment="1">
      <alignment vertical="center" wrapText="1"/>
    </xf>
    <xf numFmtId="0" fontId="37"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7" fillId="10" borderId="0" xfId="0" applyNumberFormat="1" applyFont="1" applyFill="1" applyAlignment="1">
      <alignment horizontal="center" vertical="center" wrapText="1"/>
    </xf>
    <xf numFmtId="0" fontId="32" fillId="0" borderId="0" xfId="0" applyNumberFormat="1" applyFont="1" applyAlignment="1">
      <alignment vertical="center" wrapText="1"/>
    </xf>
    <xf numFmtId="49" fontId="6" fillId="0" borderId="5" xfId="0" applyNumberFormat="1" applyFont="1" applyBorder="1" applyAlignment="1">
      <alignment horizontal="left" vertical="center" wrapText="1"/>
    </xf>
    <xf numFmtId="0" fontId="6" fillId="0" borderId="0" xfId="0" applyNumberFormat="1" applyFont="1" applyAlignment="1">
      <alignment vertical="center" wrapText="1"/>
    </xf>
    <xf numFmtId="49" fontId="37"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14"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14" fontId="68" fillId="13" borderId="8" xfId="0" applyNumberFormat="1" applyFont="1" applyFill="1" applyBorder="1" applyAlignment="1">
      <alignment horizontal="center" vertical="center" wrapText="1"/>
    </xf>
    <xf numFmtId="0" fontId="37" fillId="0" borderId="0" xfId="0" applyNumberFormat="1" applyFont="1" applyAlignment="1">
      <alignment horizontal="left" vertical="center" wrapText="1"/>
    </xf>
    <xf numFmtId="49" fontId="37" fillId="0" borderId="0" xfId="0" applyNumberFormat="1" applyFont="1" applyAlignment="1">
      <alignment horizontal="left" vertical="center" wrapText="1"/>
    </xf>
    <xf numFmtId="0" fontId="37" fillId="0" borderId="0" xfId="0" applyNumberFormat="1" applyFont="1" applyAlignment="1">
      <alignment vertical="center" wrapText="1"/>
    </xf>
    <xf numFmtId="49" fontId="16" fillId="0" borderId="5" xfId="0" applyNumberFormat="1" applyFont="1" applyBorder="1" applyAlignment="1">
      <alignment horizontal="left" vertical="center" wrapText="1"/>
    </xf>
    <xf numFmtId="14"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9"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0" fillId="10" borderId="7" xfId="0" applyNumberFormat="1" applyFont="1" applyFill="1" applyBorder="1" applyAlignment="1">
      <alignment horizontal="left" vertical="center" wrapText="1"/>
    </xf>
    <xf numFmtId="49" fontId="18" fillId="13" borderId="8" xfId="0" applyNumberFormat="1" applyFont="1" applyFill="1" applyBorder="1" applyAlignment="1">
      <alignment horizontal="center" vertical="center"/>
    </xf>
    <xf numFmtId="0" fontId="23" fillId="0" borderId="0" xfId="0" applyNumberFormat="1" applyFont="1" applyAlignment="1">
      <alignment vertical="center" wrapText="1"/>
    </xf>
    <xf numFmtId="0" fontId="22"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70"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pplyProtection="1">
      <alignment vertical="center" wrapText="1"/>
      <protection locked="0"/>
    </xf>
    <xf numFmtId="4" fontId="6" fillId="12" borderId="5"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vertical="top" wrapText="1"/>
    </xf>
    <xf numFmtId="0" fontId="71" fillId="0" borderId="0" xfId="0" applyNumberFormat="1" applyFont="1" applyAlignment="1">
      <alignment vertical="center" wrapText="1"/>
    </xf>
    <xf numFmtId="0" fontId="41" fillId="0" borderId="0" xfId="0" applyNumberFormat="1" applyFont="1" applyAlignment="1">
      <alignment vertical="center" wrapText="1"/>
    </xf>
    <xf numFmtId="169" fontId="6" fillId="12" borderId="5" xfId="0" applyNumberFormat="1" applyFont="1" applyFill="1" applyBorder="1" applyAlignment="1" applyProtection="1">
      <alignment horizontal="right" vertical="center" wrapText="1"/>
      <protection locked="0"/>
    </xf>
    <xf numFmtId="0" fontId="6" fillId="0" borderId="21" xfId="0" applyNumberFormat="1" applyFont="1" applyBorder="1" applyAlignment="1">
      <alignment horizontal="center" vertical="center" wrapText="1"/>
    </xf>
    <xf numFmtId="0" fontId="6" fillId="15" borderId="5" xfId="0" applyNumberFormat="1" applyFont="1" applyFill="1" applyBorder="1" applyAlignment="1" applyProtection="1">
      <alignment horizontal="left" vertical="center" wrapText="1" indent="2"/>
      <protection locked="0"/>
    </xf>
    <xf numFmtId="49" fontId="37" fillId="0" borderId="0" xfId="0" applyNumberFormat="1" applyFont="1" applyAlignment="1">
      <alignment horizontal="center" vertical="center" wrapText="1"/>
    </xf>
    <xf numFmtId="0" fontId="37" fillId="0" borderId="21" xfId="0" applyNumberFormat="1" applyFont="1" applyBorder="1" applyAlignment="1">
      <alignment horizontal="center" vertical="center" wrapText="1"/>
    </xf>
    <xf numFmtId="0" fontId="37" fillId="0" borderId="5" xfId="0" applyNumberFormat="1" applyFont="1" applyBorder="1" applyAlignment="1">
      <alignment horizontal="left" vertical="center" wrapText="1" indent="2"/>
    </xf>
    <xf numFmtId="0" fontId="37" fillId="0" borderId="5" xfId="0" applyNumberFormat="1" applyFont="1" applyBorder="1" applyAlignment="1">
      <alignment horizontal="center" vertical="center" wrapText="1"/>
    </xf>
    <xf numFmtId="0" fontId="37"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3"/>
    </xf>
    <xf numFmtId="49" fontId="6" fillId="15" borderId="5" xfId="0" applyNumberFormat="1" applyFont="1" applyFill="1" applyBorder="1" applyAlignment="1" applyProtection="1">
      <alignment horizontal="center" vertical="center" wrapText="1"/>
      <protection locked="0"/>
    </xf>
    <xf numFmtId="0" fontId="6"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5" borderId="5" xfId="0" applyNumberFormat="1" applyFont="1" applyFill="1" applyBorder="1" applyAlignment="1" applyProtection="1">
      <alignment horizontal="right" vertical="center" wrapText="1"/>
      <protection locked="0"/>
    </xf>
    <xf numFmtId="4" fontId="6" fillId="11" borderId="5" xfId="0" applyNumberFormat="1" applyFont="1" applyFill="1" applyBorder="1" applyAlignment="1">
      <alignment horizontal="right" vertical="center" wrapText="1"/>
    </xf>
    <xf numFmtId="0" fontId="6" fillId="0" borderId="5" xfId="0" applyNumberFormat="1" applyFont="1" applyBorder="1" applyAlignment="1">
      <alignment horizontal="left" vertical="center" wrapText="1" indent="1"/>
    </xf>
    <xf numFmtId="49" fontId="59" fillId="0" borderId="0" xfId="0" applyNumberFormat="1" applyFont="1" applyAlignment="1">
      <alignment horizontal="center" vertical="center" wrapText="1"/>
    </xf>
    <xf numFmtId="49" fontId="59" fillId="0" borderId="21" xfId="0" applyNumberFormat="1" applyFont="1" applyBorder="1" applyAlignment="1">
      <alignment horizontal="center" vertical="center" wrapText="1"/>
    </xf>
    <xf numFmtId="0" fontId="59" fillId="0" borderId="5" xfId="0" applyNumberFormat="1" applyFont="1" applyBorder="1" applyAlignment="1">
      <alignment horizontal="left" vertical="center" wrapText="1" indent="2"/>
    </xf>
    <xf numFmtId="0" fontId="59" fillId="0" borderId="5" xfId="0" applyNumberFormat="1" applyFont="1" applyBorder="1" applyAlignment="1">
      <alignment horizontal="center" vertical="center" wrapText="1"/>
    </xf>
    <xf numFmtId="0" fontId="59" fillId="0" borderId="5" xfId="0" applyNumberFormat="1" applyFont="1" applyBorder="1" applyAlignment="1">
      <alignment vertical="center" wrapText="1"/>
    </xf>
    <xf numFmtId="0" fontId="72" fillId="0" borderId="0" xfId="0" applyNumberFormat="1" applyFont="1" applyAlignment="1">
      <alignment vertical="center" wrapText="1"/>
    </xf>
    <xf numFmtId="0" fontId="50" fillId="0" borderId="0" xfId="0" applyNumberFormat="1" applyFont="1" applyAlignment="1">
      <alignment vertical="center" wrapText="1"/>
    </xf>
    <xf numFmtId="0" fontId="59" fillId="0" borderId="21" xfId="0" applyNumberFormat="1" applyFont="1" applyBorder="1" applyAlignment="1">
      <alignment horizontal="center" vertical="center" wrapText="1"/>
    </xf>
    <xf numFmtId="0" fontId="59" fillId="0" borderId="5" xfId="0" applyNumberFormat="1" applyFont="1" applyBorder="1" applyAlignment="1">
      <alignment horizontal="left" vertical="center" wrapText="1" indent="3"/>
    </xf>
    <xf numFmtId="4" fontId="59" fillId="0" borderId="5" xfId="0" applyNumberFormat="1" applyFont="1" applyBorder="1" applyAlignment="1">
      <alignment horizontal="right" vertical="center" wrapText="1"/>
    </xf>
    <xf numFmtId="49" fontId="6" fillId="13" borderId="7" xfId="0" applyNumberFormat="1" applyFont="1" applyFill="1" applyBorder="1" applyAlignment="1">
      <alignment vertical="center" wrapText="1"/>
    </xf>
    <xf numFmtId="49" fontId="30" fillId="13" borderId="8" xfId="0" applyNumberFormat="1" applyFont="1" applyFill="1" applyBorder="1" applyAlignment="1">
      <alignment horizontal="left" vertical="center" indent="2"/>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5" xfId="0" applyNumberFormat="1" applyFont="1" applyBorder="1" applyAlignment="1">
      <alignment horizontal="left" vertical="center" wrapText="1" indent="2"/>
    </xf>
    <xf numFmtId="169" fontId="6" fillId="15" borderId="5" xfId="0" applyNumberFormat="1" applyFont="1" applyFill="1" applyBorder="1" applyAlignment="1" applyProtection="1">
      <alignment horizontal="right" vertical="center" wrapText="1"/>
      <protection locked="0"/>
    </xf>
    <xf numFmtId="0" fontId="6" fillId="0" borderId="10" xfId="0" applyNumberFormat="1" applyFont="1" applyBorder="1" applyAlignment="1">
      <alignment horizontal="center" vertical="center" wrapText="1"/>
    </xf>
    <xf numFmtId="4" fontId="6" fillId="11" borderId="10" xfId="0" applyNumberFormat="1" applyFont="1" applyFill="1" applyBorder="1" applyAlignment="1">
      <alignment horizontal="right" vertical="center" wrapText="1"/>
    </xf>
    <xf numFmtId="49" fontId="30" fillId="13" borderId="8"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73" fillId="0" borderId="0" xfId="0" applyNumberFormat="1" applyFont="1" applyAlignment="1">
      <alignment vertical="center"/>
    </xf>
    <xf numFmtId="0" fontId="6" fillId="0" borderId="0" xfId="0" applyNumberFormat="1" applyFont="1" applyAlignment="1">
      <alignment vertical="center" wrapText="1"/>
    </xf>
    <xf numFmtId="0" fontId="31" fillId="0" borderId="0" xfId="0" applyNumberFormat="1" applyFont="1" applyAlignment="1">
      <alignment vertical="center"/>
    </xf>
    <xf numFmtId="0" fontId="73"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5"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3" borderId="7"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0" fontId="0" fillId="13" borderId="6" xfId="0" applyNumberFormat="1" applyFont="1" applyFill="1" applyBorder="1" applyAlignment="1">
      <alignment vertical="center"/>
    </xf>
    <xf numFmtId="49" fontId="6" fillId="0" borderId="10" xfId="0" applyNumberFormat="1" applyFont="1" applyBorder="1" applyAlignment="1">
      <alignment horizontal="center" vertical="center" wrapText="1"/>
    </xf>
    <xf numFmtId="49" fontId="62" fillId="0" borderId="5" xfId="0" applyNumberFormat="1" applyFont="1" applyBorder="1" applyAlignment="1">
      <alignment horizontal="left" vertical="center" wrapText="1" indent="1"/>
    </xf>
    <xf numFmtId="0" fontId="36" fillId="0" borderId="0" xfId="0" applyNumberFormat="1" applyFont="1" applyAlignment="1">
      <alignment vertical="center"/>
    </xf>
    <xf numFmtId="0" fontId="61" fillId="0" borderId="0" xfId="0" applyNumberFormat="1" applyFont="1" applyAlignment="1">
      <alignment vertical="center"/>
    </xf>
    <xf numFmtId="49" fontId="30" fillId="13" borderId="6" xfId="0" applyNumberFormat="1" applyFont="1" applyFill="1" applyBorder="1" applyAlignment="1">
      <alignment horizontal="left" vertical="center" indent="1"/>
    </xf>
    <xf numFmtId="49" fontId="18" fillId="13" borderId="6" xfId="0" applyNumberFormat="1" applyFont="1" applyFill="1" applyBorder="1" applyAlignment="1">
      <alignment horizontal="right" vertical="center" wrapText="1"/>
    </xf>
    <xf numFmtId="0" fontId="62" fillId="17" borderId="0" xfId="0" applyNumberFormat="1" applyFont="1" applyFill="1">
      <alignment vertical="top"/>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8" fillId="0" borderId="0" xfId="0" applyNumberFormat="1" applyFont="1" applyAlignment="1">
      <alignment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50" fillId="0" borderId="0" xfId="0" applyNumberFormat="1" applyFont="1" applyAlignment="1">
      <alignment horizontal="center" vertical="center" wrapText="1"/>
    </xf>
    <xf numFmtId="0" fontId="50"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7" fillId="0" borderId="0" xfId="0" applyNumberFormat="1" applyFont="1">
      <alignment vertical="top"/>
    </xf>
    <xf numFmtId="49" fontId="36" fillId="0" borderId="0" xfId="0" applyNumberFormat="1" applyFont="1">
      <alignment vertical="top"/>
    </xf>
    <xf numFmtId="49" fontId="36" fillId="0" borderId="0" xfId="0" applyNumberFormat="1" applyFont="1">
      <alignment vertical="top"/>
    </xf>
    <xf numFmtId="0" fontId="36" fillId="0" borderId="0" xfId="0" applyNumberFormat="1" applyFont="1">
      <alignment vertical="top"/>
    </xf>
    <xf numFmtId="0" fontId="61" fillId="0" borderId="0" xfId="0" applyNumberFormat="1" applyFont="1">
      <alignment vertical="top"/>
    </xf>
    <xf numFmtId="0" fontId="74" fillId="0" borderId="0" xfId="0" applyNumberFormat="1" applyFont="1">
      <alignment vertical="top"/>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49" fontId="0" fillId="0" borderId="6"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 fontId="0" fillId="11" borderId="5" xfId="0" applyNumberFormat="1" applyFont="1" applyFill="1" applyBorder="1" applyAlignment="1">
      <alignment horizontal="right" vertical="center" wrapText="1"/>
    </xf>
    <xf numFmtId="0" fontId="0" fillId="0" borderId="5"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5" borderId="5" xfId="0" applyNumberFormat="1" applyFont="1" applyFill="1" applyBorder="1" applyAlignment="1" applyProtection="1">
      <alignment horizontal="right" vertical="center" wrapText="1"/>
      <protection locked="0"/>
    </xf>
    <xf numFmtId="49" fontId="0" fillId="15" borderId="5" xfId="0" applyNumberFormat="1" applyFont="1" applyFill="1" applyBorder="1" applyAlignment="1" applyProtection="1">
      <alignment horizontal="center" vertical="center" wrapText="1"/>
      <protection locked="0"/>
    </xf>
    <xf numFmtId="4" fontId="36" fillId="0" borderId="5" xfId="0" applyNumberFormat="1" applyFont="1" applyBorder="1" applyAlignment="1">
      <alignment horizontal="right" vertical="center" wrapText="1"/>
    </xf>
    <xf numFmtId="49" fontId="0" fillId="13" borderId="23" xfId="0" applyNumberFormat="1" applyFont="1" applyFill="1" applyBorder="1" applyAlignment="1">
      <alignment horizontal="center" vertical="center"/>
    </xf>
    <xf numFmtId="49" fontId="0" fillId="13" borderId="8" xfId="0" applyNumberFormat="1" applyFont="1" applyFill="1" applyBorder="1" applyAlignment="1">
      <alignment horizontal="center" vertical="center"/>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49" fontId="3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1"/>
    </xf>
    <xf numFmtId="49" fontId="30" fillId="13" borderId="8" xfId="0" applyNumberFormat="1" applyFont="1" applyFill="1" applyBorder="1" applyAlignment="1">
      <alignment horizontal="left" vertical="center"/>
    </xf>
    <xf numFmtId="49" fontId="30" fillId="13" borderId="6" xfId="0" applyNumberFormat="1" applyFont="1" applyFill="1" applyBorder="1" applyAlignment="1">
      <alignment horizontal="left" vertical="center" indent="1"/>
    </xf>
    <xf numFmtId="0" fontId="30" fillId="0" borderId="5"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5"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6"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9" fontId="16" fillId="12" borderId="7" xfId="0" applyNumberFormat="1" applyFont="1" applyFill="1" applyBorder="1" applyAlignment="1" applyProtection="1">
      <alignment horizontal="left" vertical="center" wrapText="1"/>
      <protection locked="0"/>
    </xf>
    <xf numFmtId="49" fontId="16" fillId="12" borderId="7" xfId="0" applyNumberFormat="1" applyFont="1" applyFill="1" applyBorder="1" applyAlignment="1" applyProtection="1">
      <alignment horizontal="left" vertical="center" wrapText="1"/>
      <protection locked="0"/>
    </xf>
    <xf numFmtId="49" fontId="6" fillId="15" borderId="5" xfId="0" applyNumberFormat="1" applyFont="1" applyFill="1" applyBorder="1" applyAlignment="1" applyProtection="1">
      <alignment horizontal="left" vertical="center" wrapText="1"/>
      <protection locked="0"/>
    </xf>
    <xf numFmtId="0" fontId="35" fillId="0" borderId="0" xfId="0" applyNumberFormat="1" applyFont="1">
      <alignment vertical="top"/>
    </xf>
    <xf numFmtId="49" fontId="6" fillId="0" borderId="24" xfId="0" applyNumberFormat="1" applyFont="1" applyBorder="1" applyAlignment="1">
      <alignment horizontal="center" vertical="center" wrapText="1"/>
    </xf>
    <xf numFmtId="0" fontId="6" fillId="0" borderId="24" xfId="0" applyNumberFormat="1" applyFont="1" applyBorder="1" applyAlignment="1">
      <alignment horizontal="left" vertical="center" wrapText="1"/>
    </xf>
    <xf numFmtId="0" fontId="6" fillId="0" borderId="24" xfId="0" applyNumberFormat="1" applyFont="1" applyBorder="1" applyAlignment="1">
      <alignment horizontal="left" vertical="center" wrapText="1" indent="1"/>
    </xf>
    <xf numFmtId="4" fontId="6" fillId="15" borderId="24"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24" xfId="0" applyNumberFormat="1" applyFont="1" applyBorder="1" applyAlignment="1">
      <alignment horizontal="left" vertical="center" wrapText="1" indent="2"/>
    </xf>
    <xf numFmtId="0" fontId="3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70" fillId="0" borderId="0" xfId="0" applyNumberFormat="1" applyFont="1" applyAlignment="1">
      <alignment vertical="center" wrapText="1"/>
    </xf>
    <xf numFmtId="0" fontId="70"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wrapText="1"/>
    </xf>
    <xf numFmtId="3" fontId="6" fillId="0" borderId="7" xfId="0" applyNumberFormat="1" applyFont="1" applyBorder="1" applyAlignment="1">
      <alignment vertical="center" wrapText="1"/>
    </xf>
    <xf numFmtId="0" fontId="6" fillId="0" borderId="6" xfId="0" applyNumberFormat="1" applyFont="1" applyBorder="1" applyAlignment="1">
      <alignment vertical="center" wrapText="1"/>
    </xf>
    <xf numFmtId="4" fontId="6" fillId="12" borderId="7" xfId="0" applyNumberFormat="1" applyFont="1" applyFill="1" applyBorder="1" applyAlignment="1" applyProtection="1">
      <alignment horizontal="right" vertical="center" wrapText="1"/>
      <protection locked="0"/>
    </xf>
    <xf numFmtId="4" fontId="6" fillId="0" borderId="7"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0" fontId="6" fillId="0" borderId="7" xfId="0" applyNumberFormat="1" applyFont="1" applyBorder="1" applyAlignment="1">
      <alignment horizontal="center" vertical="center" wrapText="1"/>
    </xf>
    <xf numFmtId="3" fontId="6" fillId="15" borderId="7" xfId="0" applyNumberFormat="1" applyFont="1" applyFill="1" applyBorder="1" applyAlignment="1" applyProtection="1">
      <alignment vertical="center" wrapText="1"/>
      <protection locked="0"/>
    </xf>
    <xf numFmtId="49" fontId="6" fillId="12" borderId="7" xfId="0" applyNumberFormat="1" applyFont="1" applyFill="1" applyBorder="1" applyAlignment="1" applyProtection="1">
      <alignment horizontal="left" vertical="center" wrapText="1"/>
      <protection locked="0"/>
    </xf>
    <xf numFmtId="4" fontId="6" fillId="11" borderId="7"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7" xfId="0" applyNumberFormat="1" applyFont="1" applyBorder="1" applyAlignment="1">
      <alignment horizontal="center" vertical="center"/>
    </xf>
    <xf numFmtId="49" fontId="0" fillId="0" borderId="5"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xf>
    <xf numFmtId="49" fontId="0" fillId="0" borderId="5" xfId="0" applyNumberFormat="1" applyFont="1" applyBorder="1" applyAlignment="1">
      <alignment vertical="center" wrapText="1"/>
    </xf>
    <xf numFmtId="0" fontId="6" fillId="13" borderId="12" xfId="0" applyNumberFormat="1" applyFont="1" applyFill="1" applyBorder="1" applyAlignment="1">
      <alignment vertical="center" wrapText="1"/>
    </xf>
    <xf numFmtId="0" fontId="6" fillId="0" borderId="8" xfId="0" applyNumberFormat="1" applyFont="1" applyBorder="1" applyAlignment="1">
      <alignment horizontal="center" vertical="center" wrapText="1"/>
    </xf>
    <xf numFmtId="0" fontId="6" fillId="13" borderId="20" xfId="0" applyNumberFormat="1" applyFont="1" applyFill="1" applyBorder="1" applyAlignment="1">
      <alignment vertical="center" wrapText="1"/>
    </xf>
    <xf numFmtId="49" fontId="6" fillId="15" borderId="7"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5" fillId="10" borderId="0" xfId="0" applyNumberFormat="1" applyFont="1" applyFill="1" applyAlignment="1">
      <alignment horizontal="center" vertical="center" wrapText="1"/>
    </xf>
    <xf numFmtId="0" fontId="75" fillId="10" borderId="0" xfId="0" applyNumberFormat="1" applyFont="1" applyFill="1" applyAlignment="1">
      <alignment horizontal="right"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top"/>
    </xf>
    <xf numFmtId="0" fontId="6" fillId="0" borderId="5" xfId="0" applyNumberFormat="1" applyFont="1" applyBorder="1" applyAlignment="1">
      <alignment horizontal="left" vertical="center" wrapText="1"/>
    </xf>
    <xf numFmtId="0"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indent="1"/>
    </xf>
    <xf numFmtId="0" fontId="6" fillId="0" borderId="7" xfId="0" applyNumberFormat="1" applyFont="1" applyBorder="1" applyAlignment="1">
      <alignment vertical="center" wrapText="1"/>
    </xf>
    <xf numFmtId="0" fontId="6" fillId="0" borderId="0" xfId="0" applyNumberFormat="1" applyFont="1" applyAlignment="1">
      <alignment horizontal="right" vertical="center"/>
    </xf>
    <xf numFmtId="49" fontId="16" fillId="13" borderId="6" xfId="0" applyNumberFormat="1" applyFont="1" applyFill="1" applyBorder="1" applyAlignment="1">
      <alignment horizontal="left" vertical="center" wrapText="1"/>
    </xf>
    <xf numFmtId="0" fontId="76" fillId="0" borderId="0" xfId="0" applyNumberFormat="1" applyFont="1" applyAlignment="1">
      <alignment vertical="center"/>
    </xf>
    <xf numFmtId="0" fontId="77" fillId="0" borderId="0" xfId="0" applyNumberFormat="1" applyFont="1" applyAlignment="1">
      <alignment vertical="center"/>
    </xf>
    <xf numFmtId="49" fontId="37" fillId="0" borderId="15" xfId="0" applyNumberFormat="1" applyFont="1" applyBorder="1">
      <alignment vertical="top"/>
    </xf>
    <xf numFmtId="49" fontId="37" fillId="0" borderId="15" xfId="0" applyNumberFormat="1" applyFont="1" applyBorder="1">
      <alignment vertical="top"/>
    </xf>
    <xf numFmtId="0" fontId="37" fillId="0" borderId="15" xfId="0" applyNumberFormat="1" applyFont="1" applyBorder="1" applyAlignment="1">
      <alignment vertical="center" wrapText="1"/>
    </xf>
    <xf numFmtId="0" fontId="6" fillId="0" borderId="6" xfId="0" applyNumberFormat="1" applyFont="1" applyBorder="1" applyAlignment="1">
      <alignment horizontal="left" vertical="center" wrapText="1" indent="1"/>
    </xf>
    <xf numFmtId="0" fontId="58" fillId="0" borderId="15" xfId="0" applyNumberFormat="1" applyFont="1" applyBorder="1" applyAlignment="1">
      <alignment vertical="center" wrapText="1"/>
    </xf>
    <xf numFmtId="4" fontId="6" fillId="0" borderId="24" xfId="0" applyNumberFormat="1" applyFont="1" applyBorder="1" applyAlignment="1">
      <alignment horizontal="center" vertical="center" wrapText="1"/>
    </xf>
    <xf numFmtId="0" fontId="6" fillId="0" borderId="26" xfId="0" applyNumberFormat="1" applyFont="1" applyBorder="1" applyAlignment="1">
      <alignment horizontal="left" vertical="center" wrapText="1"/>
    </xf>
    <xf numFmtId="0" fontId="6" fillId="0" borderId="26" xfId="0" applyNumberFormat="1" applyFont="1" applyBorder="1" applyAlignment="1">
      <alignment horizontal="left" vertical="center" wrapText="1" indent="1"/>
    </xf>
    <xf numFmtId="4" fontId="6" fillId="15" borderId="26" xfId="0" applyNumberFormat="1" applyFont="1" applyFill="1" applyBorder="1" applyAlignment="1" applyProtection="1">
      <alignment horizontal="right" vertical="center" wrapText="1"/>
      <protection locked="0"/>
    </xf>
    <xf numFmtId="4" fontId="6" fillId="0" borderId="26"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 fontId="6" fillId="15" borderId="7" xfId="0" applyNumberFormat="1" applyFont="1" applyFill="1" applyBorder="1" applyAlignment="1" applyProtection="1">
      <alignment horizontal="right" vertical="center" wrapText="1"/>
      <protection locked="0"/>
    </xf>
    <xf numFmtId="4" fontId="6" fillId="15" borderId="27" xfId="0" applyNumberFormat="1" applyFont="1" applyFill="1" applyBorder="1" applyAlignment="1" applyProtection="1">
      <alignment horizontal="right" vertical="center" wrapText="1"/>
      <protection locked="0"/>
    </xf>
    <xf numFmtId="0" fontId="36" fillId="0" borderId="0" xfId="0" applyNumberFormat="1" applyFont="1" applyAlignment="1">
      <alignment horizontal="left" vertical="center" wrapText="1"/>
    </xf>
    <xf numFmtId="0" fontId="37" fillId="0" borderId="0" xfId="0" applyNumberFormat="1" applyFont="1" applyAlignment="1">
      <alignment horizontal="left" vertical="center" wrapText="1"/>
    </xf>
    <xf numFmtId="0" fontId="41"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1" fillId="0" borderId="0" xfId="0" applyNumberFormat="1" applyFont="1" applyAlignment="1">
      <alignment vertical="center" wrapText="1"/>
    </xf>
    <xf numFmtId="0" fontId="37" fillId="0" borderId="0" xfId="0" applyNumberFormat="1" applyFont="1" applyAlignment="1">
      <alignment vertical="center" wrapText="1"/>
    </xf>
    <xf numFmtId="0" fontId="41" fillId="0" borderId="0" xfId="0" applyNumberFormat="1" applyFont="1" applyAlignment="1">
      <alignment vertical="center" wrapText="1"/>
    </xf>
    <xf numFmtId="0" fontId="22"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8" xfId="0" applyNumberFormat="1" applyFont="1" applyBorder="1" applyAlignment="1">
      <alignment horizontal="center" vertical="center" wrapText="1"/>
    </xf>
    <xf numFmtId="4" fontId="6" fillId="15" borderId="28" xfId="0" applyNumberFormat="1" applyFont="1" applyFill="1" applyBorder="1" applyAlignment="1" applyProtection="1">
      <alignment horizontal="right" vertical="center" wrapText="1"/>
      <protection locked="0"/>
    </xf>
    <xf numFmtId="4" fontId="6" fillId="15" borderId="16" xfId="0" applyNumberFormat="1" applyFont="1" applyFill="1" applyBorder="1" applyAlignment="1" applyProtection="1">
      <alignment horizontal="right" vertical="center" wrapText="1"/>
      <protection locked="0"/>
    </xf>
    <xf numFmtId="49" fontId="6" fillId="0" borderId="26"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0" fontId="6" fillId="0" borderId="13" xfId="0" applyNumberFormat="1" applyFont="1" applyBorder="1" applyAlignment="1">
      <alignment vertical="center" wrapText="1"/>
    </xf>
    <xf numFmtId="0" fontId="27" fillId="0" borderId="0" xfId="0" applyNumberFormat="1" applyFont="1" applyAlignment="1">
      <alignment horizontal="center" vertical="center" wrapText="1"/>
    </xf>
    <xf numFmtId="0" fontId="6" fillId="13" borderId="8" xfId="0" applyNumberFormat="1" applyFont="1" applyFill="1" applyBorder="1" applyAlignment="1">
      <alignment vertical="center" wrapText="1"/>
    </xf>
    <xf numFmtId="0" fontId="36" fillId="13" borderId="6" xfId="0" applyNumberFormat="1" applyFont="1" applyFill="1" applyBorder="1" applyAlignment="1">
      <alignment vertical="center" wrapText="1"/>
    </xf>
    <xf numFmtId="169" fontId="6" fillId="11" borderId="5" xfId="0" applyNumberFormat="1" applyFont="1" applyFill="1" applyBorder="1" applyAlignment="1">
      <alignment horizontal="right" vertical="center" wrapText="1"/>
    </xf>
    <xf numFmtId="4" fontId="6" fillId="12" borderId="5" xfId="0" applyNumberFormat="1" applyFont="1" applyFill="1" applyBorder="1" applyAlignment="1" applyProtection="1">
      <alignment horizontal="right" vertical="center" wrapText="1"/>
      <protection locked="0"/>
    </xf>
    <xf numFmtId="0" fontId="60" fillId="10" borderId="0" xfId="0" applyNumberFormat="1" applyFont="1" applyFill="1" applyAlignment="1">
      <alignment horizontal="right" vertical="center"/>
    </xf>
    <xf numFmtId="49" fontId="0" fillId="0" borderId="5" xfId="0" applyNumberFormat="1" applyFont="1" applyBorder="1">
      <alignment vertical="top"/>
    </xf>
    <xf numFmtId="0" fontId="6" fillId="0" borderId="7" xfId="0" applyNumberFormat="1" applyFont="1" applyBorder="1" applyAlignment="1">
      <alignment horizontal="center" vertical="center" wrapText="1"/>
    </xf>
    <xf numFmtId="49" fontId="0" fillId="4" borderId="5" xfId="0" applyNumberFormat="1" applyFont="1" applyFill="1" applyBorder="1">
      <alignment vertical="top"/>
    </xf>
    <xf numFmtId="49" fontId="0" fillId="4" borderId="10" xfId="0" applyNumberFormat="1" applyFont="1" applyFill="1" applyBorder="1">
      <alignment vertical="top"/>
    </xf>
    <xf numFmtId="49" fontId="0" fillId="18" borderId="10" xfId="0" applyNumberFormat="1" applyFont="1" applyFill="1" applyBorder="1">
      <alignment vertical="top"/>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7" xfId="0" applyNumberFormat="1" applyFont="1" applyBorder="1">
      <alignment vertical="top"/>
    </xf>
    <xf numFmtId="49" fontId="0" fillId="0" borderId="7" xfId="0" applyNumberFormat="1" applyFont="1" applyBorder="1" applyAlignment="1">
      <alignment horizontal="center" vertical="top"/>
    </xf>
    <xf numFmtId="49" fontId="0" fillId="0" borderId="8" xfId="0" applyNumberFormat="1" applyFont="1" applyBorder="1" applyAlignment="1">
      <alignment horizontal="center" vertical="top"/>
    </xf>
    <xf numFmtId="49" fontId="0" fillId="3" borderId="5" xfId="0" applyNumberFormat="1" applyFont="1" applyFill="1" applyBorder="1">
      <alignment vertical="top"/>
    </xf>
    <xf numFmtId="49" fontId="0" fillId="19" borderId="5" xfId="0" applyNumberFormat="1" applyFont="1" applyFill="1" applyBorder="1">
      <alignment vertical="top"/>
    </xf>
    <xf numFmtId="49" fontId="0" fillId="2" borderId="5" xfId="0" applyNumberFormat="1" applyFont="1" applyFill="1" applyBorder="1">
      <alignment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8" fontId="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6" xfId="0" applyNumberFormat="1" applyFont="1" applyBorder="1" applyAlignment="1">
      <alignment horizontal="center" vertical="center" wrapText="1"/>
    </xf>
    <xf numFmtId="49" fontId="0" fillId="20" borderId="5" xfId="0" applyNumberFormat="1" applyFont="1" applyFill="1" applyBorder="1">
      <alignment vertical="top"/>
    </xf>
    <xf numFmtId="0" fontId="27"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0" fontId="78" fillId="0" borderId="0" xfId="0" applyNumberFormat="1" applyFont="1" applyAlignment="1">
      <alignment horizontal="left" vertical="center" wrapText="1"/>
    </xf>
    <xf numFmtId="14" fontId="78" fillId="10" borderId="0" xfId="0" applyNumberFormat="1" applyFont="1" applyFill="1" applyAlignment="1">
      <alignment horizontal="left" vertical="center" wrapText="1"/>
    </xf>
    <xf numFmtId="14" fontId="79" fillId="0" borderId="0" xfId="0" applyNumberFormat="1" applyFont="1" applyAlignment="1">
      <alignment horizontal="center" vertical="center" wrapText="1"/>
    </xf>
    <xf numFmtId="0" fontId="78" fillId="0" borderId="0" xfId="0" applyNumberFormat="1" applyFont="1" applyAlignment="1">
      <alignment horizontal="left" vertical="center" wrapText="1"/>
    </xf>
    <xf numFmtId="14" fontId="80" fillId="0" borderId="5" xfId="0" applyNumberFormat="1" applyFont="1" applyBorder="1" applyAlignment="1">
      <alignment horizontal="left" vertical="center" wrapText="1"/>
    </xf>
    <xf numFmtId="0" fontId="37" fillId="0" borderId="0" xfId="0" applyNumberFormat="1" applyFont="1" applyAlignment="1">
      <alignment vertical="center"/>
    </xf>
    <xf numFmtId="49" fontId="6" fillId="13" borderId="12" xfId="0" applyNumberFormat="1" applyFont="1" applyFill="1" applyBorder="1" applyAlignment="1">
      <alignment horizontal="center" vertical="center" wrapText="1"/>
    </xf>
    <xf numFmtId="49" fontId="6" fillId="11" borderId="16" xfId="0" applyNumberFormat="1" applyFont="1" applyFill="1" applyBorder="1" applyAlignment="1">
      <alignment horizontal="center" vertical="center" wrapText="1"/>
    </xf>
    <xf numFmtId="49" fontId="36" fillId="0" borderId="5" xfId="0" applyNumberFormat="1" applyFont="1" applyBorder="1" applyAlignment="1">
      <alignment horizontal="left" vertical="center" wrapText="1"/>
    </xf>
    <xf numFmtId="14" fontId="6" fillId="16" borderId="16" xfId="0" applyNumberFormat="1" applyFont="1" applyFill="1" applyBorder="1" applyAlignment="1">
      <alignment horizontal="left" vertical="center" wrapText="1" indent="1"/>
    </xf>
    <xf numFmtId="49" fontId="6" fillId="13" borderId="7" xfId="0" applyNumberFormat="1" applyFont="1" applyFill="1" applyBorder="1" applyAlignment="1">
      <alignment horizontal="right" vertical="center" wrapText="1"/>
    </xf>
    <xf numFmtId="0" fontId="37" fillId="0" borderId="16" xfId="0" applyNumberFormat="1" applyFont="1" applyBorder="1" applyAlignment="1">
      <alignment horizontal="center" vertical="center" wrapText="1"/>
    </xf>
    <xf numFmtId="49" fontId="6" fillId="0" borderId="6" xfId="0" applyNumberFormat="1" applyFont="1" applyBorder="1" applyAlignment="1">
      <alignment horizontal="center" vertical="top"/>
    </xf>
    <xf numFmtId="49" fontId="6" fillId="0" borderId="5" xfId="0" applyNumberFormat="1" applyFont="1" applyBorder="1" applyAlignment="1">
      <alignment horizontal="center" vertical="top"/>
    </xf>
    <xf numFmtId="0" fontId="6" fillId="0" borderId="16" xfId="0" applyNumberFormat="1" applyFont="1" applyBorder="1" applyAlignment="1">
      <alignment horizontal="center" vertical="center" wrapText="1"/>
    </xf>
    <xf numFmtId="49" fontId="6" fillId="0" borderId="7" xfId="0" applyNumberFormat="1" applyFont="1" applyBorder="1" applyAlignment="1">
      <alignment horizontal="center" vertical="top"/>
    </xf>
    <xf numFmtId="0" fontId="26" fillId="0" borderId="17" xfId="0" applyNumberFormat="1" applyFont="1" applyBorder="1" applyAlignment="1">
      <alignment vertical="top" wrapText="1"/>
    </xf>
    <xf numFmtId="0" fontId="26" fillId="0" borderId="0" xfId="0" applyNumberFormat="1" applyFont="1" applyAlignment="1">
      <alignment vertical="top" wrapText="1"/>
    </xf>
    <xf numFmtId="0" fontId="37" fillId="0" borderId="5"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49" fontId="62" fillId="15" borderId="5" xfId="0" applyNumberFormat="1" applyFont="1" applyFill="1" applyBorder="1" applyAlignment="1" applyProtection="1">
      <alignment horizontal="left" vertical="center" wrapText="1" indent="1"/>
      <protection locked="0"/>
    </xf>
    <xf numFmtId="0" fontId="36" fillId="0" borderId="15" xfId="0" applyNumberFormat="1" applyFont="1" applyBorder="1" applyAlignment="1">
      <alignment vertical="center"/>
    </xf>
    <xf numFmtId="0" fontId="6" fillId="0" borderId="6"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indent="1"/>
    </xf>
    <xf numFmtId="3" fontId="6" fillId="12" borderId="7" xfId="0" applyNumberFormat="1" applyFont="1" applyFill="1" applyBorder="1" applyAlignment="1" applyProtection="1">
      <alignment horizontal="right" vertical="center" wrapText="1"/>
      <protection locked="0"/>
    </xf>
    <xf numFmtId="49" fontId="16" fillId="12" borderId="5"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27" fillId="10" borderId="0" xfId="0" applyNumberFormat="1" applyFont="1" applyFill="1" applyAlignment="1">
      <alignment horizontal="center" vertical="center" wrapText="1"/>
    </xf>
    <xf numFmtId="0" fontId="6" fillId="10" borderId="5" xfId="0" applyNumberFormat="1" applyFont="1" applyFill="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49" fontId="26" fillId="10" borderId="8"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8" fillId="0" borderId="10" xfId="0" applyNumberFormat="1" applyFont="1" applyBorder="1" applyAlignment="1">
      <alignment horizontal="center" vertical="center" wrapText="1"/>
    </xf>
    <xf numFmtId="49" fontId="36" fillId="0" borderId="0" xfId="0" applyNumberFormat="1" applyFont="1">
      <alignment vertical="top"/>
    </xf>
    <xf numFmtId="0" fontId="81" fillId="0" borderId="0" xfId="0" applyNumberFormat="1" applyFont="1" applyAlignment="1">
      <alignment vertical="center" wrapText="1"/>
    </xf>
    <xf numFmtId="0" fontId="0" fillId="0" borderId="0" xfId="0" applyNumberFormat="1" applyFont="1">
      <alignment vertical="top"/>
    </xf>
    <xf numFmtId="49" fontId="0" fillId="0" borderId="5" xfId="0" applyNumberFormat="1" applyFont="1" applyBorder="1">
      <alignment vertical="top"/>
    </xf>
    <xf numFmtId="49" fontId="6" fillId="0" borderId="0" xfId="0" applyNumberFormat="1" applyFont="1">
      <alignment vertical="top"/>
    </xf>
    <xf numFmtId="0" fontId="6" fillId="0" borderId="5" xfId="0" applyNumberFormat="1" applyFont="1" applyBorder="1" applyAlignment="1">
      <alignment horizontal="left" vertical="top" wrapText="1"/>
    </xf>
    <xf numFmtId="49" fontId="78" fillId="7" borderId="5" xfId="0" applyNumberFormat="1" applyFont="1" applyFill="1" applyBorder="1" applyAlignment="1">
      <alignment horizontal="center" vertical="top" wrapText="1"/>
    </xf>
    <xf numFmtId="49" fontId="82" fillId="0" borderId="5" xfId="0" applyNumberFormat="1" applyFont="1" applyBorder="1" applyAlignment="1">
      <alignment horizontal="left" vertical="top" wrapText="1"/>
    </xf>
    <xf numFmtId="0" fontId="82" fillId="0" borderId="5" xfId="0" applyNumberFormat="1" applyFont="1" applyBorder="1" applyAlignment="1">
      <alignment horizontal="left" vertical="top" wrapText="1"/>
    </xf>
    <xf numFmtId="0" fontId="82" fillId="7" borderId="5" xfId="0" applyNumberFormat="1" applyFont="1" applyFill="1" applyBorder="1" applyAlignment="1">
      <alignment horizontal="right" vertical="center" wrapText="1"/>
    </xf>
    <xf numFmtId="49" fontId="82" fillId="0" borderId="5" xfId="0" applyNumberFormat="1" applyFont="1" applyBorder="1" applyAlignment="1">
      <alignment vertical="top" wrapText="1"/>
    </xf>
    <xf numFmtId="0" fontId="82" fillId="0" borderId="10" xfId="0" applyNumberFormat="1" applyFont="1" applyBorder="1" applyAlignment="1">
      <alignment horizontal="left" vertical="top" wrapText="1"/>
    </xf>
    <xf numFmtId="0" fontId="82" fillId="0" borderId="6" xfId="0" applyNumberFormat="1" applyFont="1" applyBorder="1" applyAlignment="1">
      <alignment horizontal="left" vertical="top" wrapText="1"/>
    </xf>
    <xf numFmtId="0" fontId="82" fillId="0" borderId="5" xfId="0" applyNumberFormat="1" applyFont="1" applyBorder="1" applyAlignment="1">
      <alignment vertical="top" wrapText="1"/>
    </xf>
    <xf numFmtId="0" fontId="78" fillId="7" borderId="5" xfId="0" applyNumberFormat="1" applyFont="1" applyFill="1" applyBorder="1" applyAlignment="1">
      <alignment horizontal="center" vertical="top" wrapText="1"/>
    </xf>
    <xf numFmtId="0" fontId="77"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6" xfId="0" applyNumberFormat="1" applyFont="1" applyBorder="1" applyAlignment="1">
      <alignment horizontal="right" vertical="center" wrapText="1"/>
    </xf>
    <xf numFmtId="0" fontId="6" fillId="16" borderId="7" xfId="0" applyNumberFormat="1" applyFont="1" applyFill="1" applyBorder="1" applyAlignment="1">
      <alignment horizontal="left" vertical="center" wrapText="1"/>
    </xf>
    <xf numFmtId="49" fontId="26" fillId="10" borderId="5" xfId="0" applyNumberFormat="1" applyFont="1" applyFill="1" applyBorder="1" applyAlignment="1">
      <alignment horizontal="center" vertical="center" wrapText="1"/>
    </xf>
    <xf numFmtId="49" fontId="60" fillId="13" borderId="6"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5" borderId="5" xfId="0" applyNumberFormat="1" applyFont="1" applyFill="1" applyBorder="1" applyAlignment="1" applyProtection="1">
      <alignment horizontal="left" vertical="center" wrapText="1" indent="1"/>
      <protection locked="0"/>
    </xf>
    <xf numFmtId="49" fontId="6" fillId="15" borderId="7" xfId="0" applyNumberFormat="1" applyFont="1" applyFill="1" applyBorder="1" applyAlignment="1" applyProtection="1">
      <alignment horizontal="left" vertical="center" wrapText="1"/>
      <protection locked="0"/>
    </xf>
    <xf numFmtId="49" fontId="6" fillId="15" borderId="5" xfId="0" quotePrefix="1" applyNumberFormat="1" applyFont="1" applyFill="1" applyBorder="1" applyAlignment="1" applyProtection="1">
      <alignment horizontal="left" vertical="center" wrapText="1"/>
      <protection locked="0"/>
    </xf>
    <xf numFmtId="14" fontId="6" fillId="16" borderId="16" xfId="0" applyNumberFormat="1" applyFont="1" applyFill="1" applyBorder="1" applyAlignment="1">
      <alignment horizontal="left" vertical="center" wrapText="1"/>
    </xf>
    <xf numFmtId="0" fontId="37" fillId="10" borderId="16" xfId="0" applyNumberFormat="1" applyFont="1" applyFill="1" applyBorder="1" applyAlignment="1">
      <alignment horizontal="center" vertical="center" wrapText="1"/>
    </xf>
    <xf numFmtId="0" fontId="27" fillId="10" borderId="17" xfId="0" applyNumberFormat="1" applyFont="1" applyFill="1" applyBorder="1" applyAlignment="1">
      <alignment vertical="top" wrapText="1"/>
    </xf>
    <xf numFmtId="0" fontId="27" fillId="10" borderId="0" xfId="0" applyNumberFormat="1" applyFont="1" applyFill="1" applyAlignment="1">
      <alignment vertical="top" wrapText="1"/>
    </xf>
    <xf numFmtId="14" fontId="6" fillId="16" borderId="22"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wrapText="1"/>
    </xf>
    <xf numFmtId="0" fontId="30" fillId="13" borderId="8" xfId="0" applyNumberFormat="1" applyFont="1" applyFill="1" applyBorder="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wrapText="1"/>
    </xf>
    <xf numFmtId="49" fontId="36" fillId="0" borderId="0" xfId="0" applyNumberFormat="1" applyFont="1" applyAlignment="1">
      <alignment vertical="center" wrapText="1"/>
    </xf>
    <xf numFmtId="49" fontId="36" fillId="0" borderId="0" xfId="0" applyNumberFormat="1" applyFont="1">
      <alignment vertical="top"/>
    </xf>
    <xf numFmtId="0" fontId="75" fillId="0" borderId="0" xfId="0" applyNumberFormat="1" applyFont="1" applyAlignment="1">
      <alignment vertical="center" wrapText="1"/>
    </xf>
    <xf numFmtId="0" fontId="83" fillId="0" borderId="0" xfId="0" applyNumberFormat="1" applyFont="1" applyAlignment="1">
      <alignment vertical="center" wrapText="1"/>
    </xf>
    <xf numFmtId="0" fontId="36" fillId="0" borderId="0" xfId="0" applyNumberFormat="1" applyFont="1" applyAlignment="1">
      <alignment vertical="center" wrapText="1"/>
    </xf>
    <xf numFmtId="0" fontId="75" fillId="0" borderId="0" xfId="0" applyNumberFormat="1" applyFont="1" applyAlignment="1">
      <alignment horizontal="center" vertical="center" wrapText="1"/>
    </xf>
    <xf numFmtId="0" fontId="36"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3" borderId="7" xfId="0" applyNumberFormat="1" applyFont="1" applyFill="1" applyBorder="1">
      <alignment vertical="top"/>
    </xf>
    <xf numFmtId="49" fontId="0" fillId="0" borderId="5"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0" fillId="15" borderId="7" xfId="0" applyNumberFormat="1" applyFont="1" applyFill="1" applyBorder="1" applyAlignment="1" applyProtection="1">
      <alignment horizontal="left" vertical="center" wrapText="1" indent="2"/>
      <protection locked="0"/>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84" fillId="10" borderId="0" xfId="0" applyNumberFormat="1" applyFont="1" applyFill="1" applyAlignment="1">
      <alignment horizontal="right" vertical="center"/>
    </xf>
    <xf numFmtId="49" fontId="82" fillId="0" borderId="6" xfId="0" applyNumberFormat="1" applyFont="1" applyBorder="1" applyAlignment="1">
      <alignment horizontal="left" vertical="top" wrapText="1"/>
    </xf>
    <xf numFmtId="49" fontId="82" fillId="0" borderId="7" xfId="0" applyNumberFormat="1" applyFont="1" applyBorder="1" applyAlignment="1">
      <alignment horizontal="left" vertical="top" wrapText="1"/>
    </xf>
    <xf numFmtId="0" fontId="82" fillId="0" borderId="10" xfId="0" applyNumberFormat="1" applyFont="1" applyBorder="1" applyAlignment="1">
      <alignment vertical="top" wrapText="1"/>
    </xf>
    <xf numFmtId="0" fontId="82" fillId="0" borderId="29" xfId="0" applyNumberFormat="1" applyFont="1" applyBorder="1" applyAlignment="1">
      <alignment horizontal="left" vertical="top" wrapText="1"/>
    </xf>
    <xf numFmtId="49" fontId="82" fillId="0" borderId="23" xfId="0" applyNumberFormat="1" applyFont="1" applyBorder="1" applyAlignment="1">
      <alignment horizontal="left" vertical="top"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6" fillId="0" borderId="5" xfId="0" applyNumberFormat="1" applyFont="1" applyBorder="1" applyAlignment="1">
      <alignment horizontal="left"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30" fillId="13" borderId="7" xfId="0" applyNumberFormat="1" applyFont="1" applyFill="1" applyBorder="1" applyAlignment="1">
      <alignment horizontal="left" vertical="center" indent="1"/>
    </xf>
    <xf numFmtId="0" fontId="0" fillId="10" borderId="10"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49" fontId="85"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10" xfId="0" applyNumberFormat="1" applyFont="1" applyFill="1" applyBorder="1" applyAlignment="1">
      <alignment horizontal="center" vertical="center" wrapText="1"/>
    </xf>
    <xf numFmtId="0" fontId="0" fillId="10" borderId="30" xfId="0" applyNumberFormat="1" applyFont="1" applyFill="1" applyBorder="1" applyAlignment="1">
      <alignment horizontal="center" vertical="center" wrapText="1"/>
    </xf>
    <xf numFmtId="0" fontId="6" fillId="13" borderId="22"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49" fontId="86" fillId="0" borderId="0" xfId="0" applyNumberFormat="1" applyFont="1" applyAlignment="1">
      <alignment vertical="center"/>
    </xf>
    <xf numFmtId="49" fontId="35" fillId="0" borderId="0" xfId="0" applyNumberFormat="1" applyFont="1" applyAlignment="1">
      <alignment vertical="center"/>
    </xf>
    <xf numFmtId="49" fontId="35" fillId="0" borderId="0" xfId="0" applyNumberFormat="1" applyFont="1" applyAlignment="1">
      <alignment vertical="center"/>
    </xf>
    <xf numFmtId="49" fontId="8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49" fontId="35" fillId="0" borderId="0" xfId="0" applyNumberFormat="1" applyFont="1" applyAlignment="1">
      <alignment vertical="center" wrapText="1"/>
    </xf>
    <xf numFmtId="49" fontId="8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8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35" fillId="10" borderId="0" xfId="0" applyNumberFormat="1" applyFont="1" applyFill="1" applyAlignment="1">
      <alignment vertical="center" wrapText="1"/>
    </xf>
    <xf numFmtId="49" fontId="35" fillId="0" borderId="0" xfId="0" applyNumberFormat="1" applyFont="1">
      <alignment vertical="top"/>
    </xf>
    <xf numFmtId="49" fontId="35" fillId="10" borderId="0" xfId="0" applyNumberFormat="1" applyFont="1" applyFill="1" applyAlignment="1">
      <alignment vertical="center"/>
    </xf>
    <xf numFmtId="49" fontId="86" fillId="0" borderId="0" xfId="0" applyNumberFormat="1" applyFont="1" applyAlignment="1">
      <alignment vertical="center"/>
    </xf>
    <xf numFmtId="49" fontId="35" fillId="0" borderId="0" xfId="0" applyNumberFormat="1" applyFont="1">
      <alignment vertical="top"/>
    </xf>
    <xf numFmtId="4" fontId="35" fillId="10" borderId="0" xfId="0" applyNumberFormat="1" applyFont="1" applyFill="1" applyAlignment="1">
      <alignment vertical="center"/>
    </xf>
    <xf numFmtId="3" fontId="35" fillId="12" borderId="5" xfId="0" applyNumberFormat="1" applyFont="1" applyFill="1" applyBorder="1" applyAlignment="1" applyProtection="1">
      <alignment horizontal="right" vertical="center"/>
      <protection locked="0"/>
    </xf>
    <xf numFmtId="49" fontId="22"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7" fillId="0" borderId="6" xfId="0" applyNumberFormat="1" applyFont="1" applyBorder="1" applyAlignment="1">
      <alignment horizontal="left" vertical="center" indent="1"/>
    </xf>
    <xf numFmtId="0" fontId="6" fillId="0" borderId="17" xfId="0" applyNumberFormat="1" applyFont="1" applyBorder="1" applyAlignment="1">
      <alignment vertical="top" wrapText="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0" fontId="6" fillId="0" borderId="5" xfId="0" applyNumberFormat="1" applyFont="1" applyBorder="1" applyAlignment="1">
      <alignment horizontal="left" vertical="center" wrapText="1" indent="1"/>
    </xf>
    <xf numFmtId="49" fontId="6" fillId="15" borderId="5"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78" fillId="0" borderId="5" xfId="0" applyNumberFormat="1" applyFont="1" applyBorder="1" applyAlignment="1">
      <alignment horizontal="center" vertical="center" wrapText="1"/>
    </xf>
    <xf numFmtId="0" fontId="78" fillId="0" borderId="5" xfId="0" applyNumberFormat="1" applyFont="1" applyBorder="1" applyAlignment="1">
      <alignment horizontal="center" vertical="center" wrapText="1"/>
    </xf>
    <xf numFmtId="49" fontId="78" fillId="0" borderId="10" xfId="0" applyNumberFormat="1" applyFont="1" applyBorder="1" applyAlignment="1">
      <alignment horizontal="center" vertical="center" wrapText="1"/>
    </xf>
    <xf numFmtId="49" fontId="78" fillId="0" borderId="16" xfId="0" applyNumberFormat="1" applyFont="1" applyBorder="1" applyAlignment="1">
      <alignment horizontal="center" vertical="center" wrapText="1"/>
    </xf>
    <xf numFmtId="0" fontId="78" fillId="0" borderId="10" xfId="0" applyNumberFormat="1" applyFont="1" applyBorder="1" applyAlignment="1">
      <alignment horizontal="center" vertical="center" wrapText="1"/>
    </xf>
    <xf numFmtId="49" fontId="82" fillId="0" borderId="15" xfId="0" applyNumberFormat="1" applyFont="1" applyBorder="1" applyAlignment="1">
      <alignment horizontal="center" vertical="top" wrapText="1"/>
    </xf>
    <xf numFmtId="49" fontId="82" fillId="0" borderId="29" xfId="0" applyNumberFormat="1" applyFont="1" applyBorder="1" applyAlignment="1">
      <alignment horizontal="left" vertical="top" wrapText="1"/>
    </xf>
    <xf numFmtId="0" fontId="78" fillId="0" borderId="5" xfId="0" applyNumberFormat="1" applyFont="1" applyBorder="1" applyAlignment="1">
      <alignment vertical="center" wrapText="1"/>
    </xf>
    <xf numFmtId="0" fontId="78" fillId="0" borderId="10" xfId="0" applyNumberFormat="1" applyFont="1" applyBorder="1" applyAlignment="1">
      <alignment vertical="center" wrapText="1"/>
    </xf>
    <xf numFmtId="0" fontId="78" fillId="0" borderId="16" xfId="0" applyNumberFormat="1" applyFont="1" applyBorder="1" applyAlignment="1">
      <alignment vertical="center" wrapText="1"/>
    </xf>
    <xf numFmtId="49" fontId="78" fillId="0" borderId="5" xfId="0" applyNumberFormat="1" applyFont="1" applyBorder="1" applyAlignment="1">
      <alignment horizontal="left" vertical="top" wrapText="1"/>
    </xf>
    <xf numFmtId="169" fontId="6" fillId="15" borderId="10" xfId="0" applyNumberFormat="1" applyFont="1" applyFill="1" applyBorder="1" applyAlignment="1" applyProtection="1">
      <alignment horizontal="right" vertical="center" wrapText="1"/>
      <protection locked="0"/>
    </xf>
    <xf numFmtId="0" fontId="6" fillId="0" borderId="6"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49" fontId="6" fillId="13" borderId="30" xfId="0" applyNumberFormat="1" applyFont="1" applyFill="1" applyBorder="1" applyAlignment="1">
      <alignment vertical="center" wrapText="1"/>
    </xf>
    <xf numFmtId="49" fontId="30" fillId="13" borderId="12" xfId="0" applyNumberFormat="1" applyFont="1" applyFill="1" applyBorder="1" applyAlignment="1">
      <alignment horizontal="left" vertical="center" indent="1"/>
    </xf>
    <xf numFmtId="0" fontId="59" fillId="0" borderId="0" xfId="0" applyNumberFormat="1" applyFont="1" applyAlignment="1">
      <alignment horizontal="center" vertical="center" wrapText="1"/>
    </xf>
    <xf numFmtId="4" fontId="6" fillId="15" borderId="6" xfId="0" applyNumberFormat="1" applyFont="1" applyFill="1" applyBorder="1" applyAlignment="1" applyProtection="1">
      <alignment horizontal="right" vertical="center" wrapText="1"/>
      <protection locked="0"/>
    </xf>
    <xf numFmtId="169" fontId="6" fillId="15" borderId="6" xfId="0" applyNumberFormat="1" applyFont="1" applyFill="1" applyBorder="1" applyAlignment="1" applyProtection="1">
      <alignment horizontal="right" vertical="center" wrapText="1"/>
      <protection locked="0"/>
    </xf>
    <xf numFmtId="169" fontId="6" fillId="11" borderId="6" xfId="0" applyNumberFormat="1" applyFont="1" applyFill="1" applyBorder="1" applyAlignment="1">
      <alignment horizontal="right" vertical="center" wrapText="1"/>
    </xf>
    <xf numFmtId="4" fontId="6" fillId="15" borderId="22" xfId="0" applyNumberFormat="1" applyFont="1" applyFill="1" applyBorder="1" applyAlignment="1" applyProtection="1">
      <alignment horizontal="right" vertical="center" wrapText="1"/>
      <protection locked="0"/>
    </xf>
    <xf numFmtId="49" fontId="78" fillId="7" borderId="5" xfId="0" applyNumberFormat="1" applyFont="1" applyFill="1" applyBorder="1" applyAlignment="1">
      <alignment horizontal="center" vertical="top"/>
    </xf>
    <xf numFmtId="49" fontId="78" fillId="0" borderId="5" xfId="0" applyNumberFormat="1" applyFont="1" applyBorder="1" applyAlignment="1">
      <alignment horizontal="center" vertical="top" wrapText="1"/>
    </xf>
    <xf numFmtId="49" fontId="78" fillId="0" borderId="5" xfId="0" applyNumberFormat="1" applyFont="1" applyBorder="1" applyAlignment="1">
      <alignment vertical="top" wrapText="1"/>
    </xf>
    <xf numFmtId="0" fontId="78" fillId="0" borderId="5" xfId="0" applyNumberFormat="1" applyFont="1" applyBorder="1" applyAlignment="1">
      <alignment vertical="top" wrapText="1"/>
    </xf>
    <xf numFmtId="49" fontId="78" fillId="0" borderId="5" xfId="0" applyNumberFormat="1" applyFont="1" applyBorder="1">
      <alignment vertical="top"/>
    </xf>
    <xf numFmtId="49" fontId="82" fillId="0" borderId="5" xfId="0" applyNumberFormat="1" applyFont="1" applyBorder="1">
      <alignment vertical="top"/>
    </xf>
    <xf numFmtId="49" fontId="78" fillId="0" borderId="0" xfId="0" applyNumberFormat="1" applyFont="1" applyAlignment="1">
      <alignment horizontal="center" vertical="center" wrapText="1"/>
    </xf>
    <xf numFmtId="49" fontId="78" fillId="0" borderId="0" xfId="0" applyNumberFormat="1" applyFont="1" applyAlignment="1">
      <alignment horizontal="left" vertical="center" wrapText="1"/>
    </xf>
    <xf numFmtId="49" fontId="78" fillId="21" borderId="0" xfId="0" applyNumberFormat="1" applyFont="1" applyFill="1" applyAlignment="1">
      <alignment horizontal="center" vertical="center" wrapText="1"/>
    </xf>
    <xf numFmtId="0" fontId="78" fillId="0" borderId="0" xfId="0" applyNumberFormat="1" applyFont="1" applyAlignment="1">
      <alignment vertical="center" wrapText="1"/>
    </xf>
    <xf numFmtId="0" fontId="37" fillId="0" borderId="5" xfId="0" applyNumberFormat="1" applyFont="1" applyBorder="1" applyAlignment="1">
      <alignment horizontal="left" vertical="center" wrapText="1" indent="3"/>
    </xf>
    <xf numFmtId="49" fontId="37" fillId="0" borderId="5" xfId="0" applyNumberFormat="1" applyFont="1" applyBorder="1" applyAlignment="1">
      <alignment vertical="center" wrapText="1"/>
    </xf>
    <xf numFmtId="0" fontId="37" fillId="0" borderId="10" xfId="0" applyNumberFormat="1" applyFont="1" applyBorder="1" applyAlignment="1">
      <alignment vertical="top" wrapText="1"/>
    </xf>
    <xf numFmtId="0" fontId="37" fillId="0" borderId="29" xfId="0" applyNumberFormat="1" applyFont="1" applyBorder="1" applyAlignment="1">
      <alignment horizontal="left" vertical="center" wrapText="1" indent="1"/>
    </xf>
    <xf numFmtId="0" fontId="37" fillId="0" borderId="29" xfId="0" applyNumberFormat="1" applyFont="1" applyBorder="1" applyAlignment="1">
      <alignment horizontal="center" vertical="center" wrapText="1"/>
    </xf>
    <xf numFmtId="0" fontId="37" fillId="0" borderId="10" xfId="0" applyNumberFormat="1" applyFont="1" applyBorder="1" applyAlignment="1">
      <alignment vertical="center" wrapText="1"/>
    </xf>
    <xf numFmtId="0" fontId="37" fillId="0" borderId="16" xfId="0" applyNumberFormat="1" applyFont="1" applyBorder="1" applyAlignment="1">
      <alignment horizontal="left" vertical="center" wrapText="1" indent="1"/>
    </xf>
    <xf numFmtId="0" fontId="37" fillId="0" borderId="10" xfId="0" applyNumberFormat="1" applyFont="1" applyBorder="1" applyAlignment="1">
      <alignment horizontal="left" vertical="center" wrapText="1" indent="1"/>
    </xf>
    <xf numFmtId="49" fontId="82" fillId="7" borderId="5" xfId="0" applyNumberFormat="1" applyFont="1" applyFill="1" applyBorder="1" applyAlignment="1">
      <alignment horizontal="center" vertical="top" wrapText="1"/>
    </xf>
    <xf numFmtId="49" fontId="82" fillId="7" borderId="5" xfId="0" applyNumberFormat="1" applyFont="1" applyFill="1" applyBorder="1" applyAlignment="1">
      <alignment horizontal="left" vertical="top" wrapText="1"/>
    </xf>
    <xf numFmtId="0" fontId="78" fillId="0" borderId="7" xfId="0" applyNumberFormat="1" applyFont="1" applyBorder="1" applyAlignment="1">
      <alignment horizontal="center" vertical="center" wrapText="1"/>
    </xf>
    <xf numFmtId="0" fontId="6" fillId="0" borderId="16" xfId="0" applyNumberFormat="1" applyFont="1" applyBorder="1" applyAlignment="1">
      <alignment vertical="top" wrapText="1"/>
    </xf>
    <xf numFmtId="0" fontId="6" fillId="0" borderId="16" xfId="0" applyNumberFormat="1" applyFont="1" applyBorder="1" applyAlignment="1">
      <alignment vertical="top" wrapText="1"/>
    </xf>
    <xf numFmtId="0" fontId="78" fillId="0" borderId="7" xfId="0" applyNumberFormat="1" applyFont="1" applyBorder="1" applyAlignment="1">
      <alignment horizontal="center" vertical="center"/>
    </xf>
    <xf numFmtId="49" fontId="37" fillId="10" borderId="5" xfId="0" applyNumberFormat="1" applyFont="1" applyFill="1" applyBorder="1" applyAlignment="1">
      <alignment horizontal="center" vertical="center"/>
    </xf>
    <xf numFmtId="0" fontId="37" fillId="10" borderId="5" xfId="0" applyNumberFormat="1" applyFont="1" applyFill="1" applyBorder="1" applyAlignment="1">
      <alignment horizontal="left" vertical="center" wrapText="1" indent="1"/>
    </xf>
    <xf numFmtId="0" fontId="37" fillId="10" borderId="5" xfId="0" applyNumberFormat="1" applyFont="1" applyFill="1" applyBorder="1" applyAlignment="1">
      <alignment vertical="center" wrapText="1"/>
    </xf>
    <xf numFmtId="49" fontId="37" fillId="0" borderId="5" xfId="0" applyNumberFormat="1" applyFont="1" applyBorder="1" applyAlignment="1">
      <alignment horizontal="center" vertical="center"/>
    </xf>
    <xf numFmtId="0" fontId="37" fillId="0" borderId="5" xfId="0" applyNumberFormat="1" applyFont="1" applyBorder="1" applyAlignment="1">
      <alignment horizontal="left" vertical="center" wrapText="1" indent="1"/>
    </xf>
    <xf numFmtId="0" fontId="37" fillId="0" borderId="5" xfId="0" applyNumberFormat="1" applyFont="1" applyBorder="1" applyAlignment="1">
      <alignment horizontal="left" vertical="center" wrapText="1"/>
    </xf>
    <xf numFmtId="0" fontId="37" fillId="0" borderId="5" xfId="0" applyNumberFormat="1" applyFont="1" applyBorder="1" applyAlignment="1">
      <alignment vertical="center" wrapText="1"/>
    </xf>
    <xf numFmtId="0" fontId="37" fillId="0" borderId="5" xfId="0" applyNumberFormat="1" applyFont="1" applyBorder="1" applyAlignment="1">
      <alignment horizontal="center" vertical="center" wrapText="1"/>
    </xf>
    <xf numFmtId="0" fontId="37" fillId="10" borderId="5" xfId="0" applyNumberFormat="1" applyFont="1" applyFill="1" applyBorder="1" applyAlignment="1">
      <alignment horizontal="left" vertical="center" wrapText="1" indent="2"/>
    </xf>
    <xf numFmtId="49" fontId="37" fillId="0" borderId="5"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2" fontId="6" fillId="0" borderId="16" xfId="0" applyNumberFormat="1" applyFont="1" applyBorder="1" applyAlignment="1">
      <alignment horizontal="center" vertical="center" wrapText="1"/>
    </xf>
    <xf numFmtId="0" fontId="87" fillId="0" borderId="0" xfId="0" applyNumberFormat="1" applyFont="1" applyAlignment="1">
      <alignment horizontal="center" vertical="center" wrapText="1"/>
    </xf>
    <xf numFmtId="0" fontId="88" fillId="10" borderId="0" xfId="0" applyNumberFormat="1" applyFont="1" applyFill="1" applyAlignment="1">
      <alignment horizontal="right" vertical="center"/>
    </xf>
    <xf numFmtId="0" fontId="6" fillId="0" borderId="16"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7" fillId="0" borderId="20" xfId="0" applyNumberFormat="1" applyFont="1" applyBorder="1" applyAlignment="1">
      <alignment vertical="center" wrapText="1"/>
    </xf>
    <xf numFmtId="49" fontId="16" fillId="0" borderId="7" xfId="0" applyNumberFormat="1" applyFont="1" applyBorder="1" applyAlignment="1">
      <alignment horizontal="left" vertical="center" wrapText="1"/>
    </xf>
    <xf numFmtId="49" fontId="16" fillId="0" borderId="8" xfId="0" applyNumberFormat="1" applyFont="1" applyBorder="1" applyAlignment="1">
      <alignment horizontal="left" vertical="center" wrapText="1"/>
    </xf>
    <xf numFmtId="49" fontId="37"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 fontId="6" fillId="0" borderId="10"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9" fontId="16" fillId="0" borderId="30" xfId="0" applyNumberFormat="1" applyFont="1" applyBorder="1" applyAlignment="1">
      <alignment horizontal="left" vertical="center" wrapText="1"/>
    </xf>
    <xf numFmtId="49" fontId="16" fillId="0" borderId="23" xfId="0" applyNumberFormat="1" applyFont="1" applyBorder="1" applyAlignment="1">
      <alignment horizontal="left" vertical="center" wrapText="1"/>
    </xf>
    <xf numFmtId="0" fontId="6" fillId="0" borderId="29" xfId="0" applyNumberFormat="1" applyFont="1" applyBorder="1" applyAlignment="1">
      <alignment vertical="center" wrapText="1"/>
    </xf>
    <xf numFmtId="0" fontId="6" fillId="0" borderId="25"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3" xfId="0" applyNumberFormat="1" applyFont="1" applyBorder="1" applyAlignment="1">
      <alignment horizontal="center" vertical="center" wrapText="1"/>
    </xf>
    <xf numFmtId="0" fontId="37" fillId="0" borderId="0" xfId="0" applyNumberFormat="1" applyFont="1" applyAlignment="1">
      <alignment horizontal="center" vertical="top"/>
    </xf>
    <xf numFmtId="49" fontId="37" fillId="0" borderId="0" xfId="0" applyNumberFormat="1" applyFont="1">
      <alignment vertical="top"/>
    </xf>
    <xf numFmtId="0" fontId="37" fillId="0" borderId="16" xfId="0" applyNumberFormat="1" applyFont="1" applyBorder="1" applyAlignment="1">
      <alignment vertical="center" wrapText="1"/>
    </xf>
    <xf numFmtId="4" fontId="37" fillId="0" borderId="5" xfId="0" applyNumberFormat="1" applyFont="1" applyBorder="1" applyAlignment="1">
      <alignment horizontal="right" vertical="center" wrapText="1"/>
    </xf>
    <xf numFmtId="2" fontId="37" fillId="0" borderId="16" xfId="0" applyNumberFormat="1" applyFont="1" applyBorder="1" applyAlignment="1">
      <alignment horizontal="center" vertical="center" wrapText="1"/>
    </xf>
    <xf numFmtId="0" fontId="37" fillId="0" borderId="5" xfId="0" applyNumberFormat="1" applyFont="1" applyBorder="1" applyAlignment="1">
      <alignment horizontal="left" vertical="center" wrapText="1"/>
    </xf>
    <xf numFmtId="49" fontId="37" fillId="0" borderId="7" xfId="0" applyNumberFormat="1" applyFont="1" applyBorder="1" applyAlignment="1">
      <alignment horizontal="left" vertical="center"/>
    </xf>
    <xf numFmtId="49" fontId="37" fillId="0" borderId="8" xfId="0" applyNumberFormat="1" applyFont="1" applyBorder="1" applyAlignment="1">
      <alignment horizontal="left" vertical="center" indent="1"/>
    </xf>
    <xf numFmtId="49" fontId="37" fillId="0" borderId="8" xfId="0" applyNumberFormat="1" applyFont="1" applyBorder="1" applyAlignment="1">
      <alignment horizontal="left" vertical="center"/>
    </xf>
    <xf numFmtId="0" fontId="37" fillId="0" borderId="5" xfId="0" applyNumberFormat="1" applyFont="1" applyBorder="1" applyAlignment="1">
      <alignment horizontal="left" vertical="center" indent="1"/>
    </xf>
    <xf numFmtId="49" fontId="30" fillId="0" borderId="12" xfId="0" applyNumberFormat="1" applyFont="1" applyBorder="1" applyAlignment="1">
      <alignment horizontal="right" vertical="center"/>
    </xf>
    <xf numFmtId="0" fontId="6" fillId="16" borderId="5" xfId="0" applyNumberFormat="1" applyFont="1" applyFill="1" applyBorder="1" applyAlignment="1">
      <alignment horizontal="left" vertical="center" wrapText="1" inden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0" fontId="48"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12" borderId="6"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2" xfId="0" applyNumberFormat="1" applyFont="1" applyBorder="1" applyAlignment="1">
      <alignment vertical="center" wrapText="1"/>
    </xf>
    <xf numFmtId="0" fontId="6" fillId="0" borderId="20" xfId="0" applyNumberFormat="1" applyFont="1" applyBorder="1" applyAlignment="1">
      <alignment vertical="center" wrapText="1"/>
    </xf>
    <xf numFmtId="49" fontId="6" fillId="13" borderId="34" xfId="0" applyNumberFormat="1" applyFont="1" applyFill="1" applyBorder="1" applyAlignment="1">
      <alignment horizontal="center" vertical="center" wrapText="1"/>
    </xf>
    <xf numFmtId="49" fontId="18" fillId="13" borderId="35" xfId="0" applyNumberFormat="1" applyFont="1" applyFill="1" applyBorder="1" applyAlignment="1">
      <alignment horizontal="right" vertical="center" wrapText="1"/>
    </xf>
    <xf numFmtId="49" fontId="18" fillId="13" borderId="36" xfId="0" applyNumberFormat="1" applyFont="1" applyFill="1" applyBorder="1" applyAlignment="1">
      <alignment horizontal="right" vertical="center" wrapText="1"/>
    </xf>
    <xf numFmtId="49" fontId="35" fillId="0" borderId="0" xfId="0" applyNumberFormat="1" applyFont="1">
      <alignment vertical="top"/>
    </xf>
    <xf numFmtId="0" fontId="35" fillId="0" borderId="0" xfId="0" applyNumberFormat="1" applyFont="1" applyAlignment="1">
      <alignment vertical="center" wrapText="1"/>
    </xf>
    <xf numFmtId="49" fontId="81" fillId="0" borderId="0" xfId="0" applyNumberFormat="1" applyFont="1" applyAlignment="1">
      <alignment vertical="center" wrapText="1"/>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0" fontId="0" fillId="24" borderId="5" xfId="0" applyNumberFormat="1" applyFont="1" applyFill="1" applyBorder="1" applyAlignment="1">
      <alignment horizontal="center" vertical="center"/>
    </xf>
    <xf numFmtId="49" fontId="0" fillId="0" borderId="0" xfId="0" applyNumberFormat="1" applyFont="1" applyAlignment="1">
      <alignment vertical="center"/>
    </xf>
    <xf numFmtId="49" fontId="36" fillId="22" borderId="5" xfId="0" applyNumberFormat="1" applyFont="1" applyFill="1" applyBorder="1" applyAlignment="1">
      <alignment horizontal="center" vertical="center"/>
    </xf>
    <xf numFmtId="49" fontId="36" fillId="25" borderId="5" xfId="0" applyNumberFormat="1" applyFont="1" applyFill="1" applyBorder="1" applyAlignment="1">
      <alignment horizontal="center" vertical="center"/>
    </xf>
    <xf numFmtId="49" fontId="0" fillId="26" borderId="5" xfId="0" applyNumberFormat="1" applyFont="1" applyFill="1" applyBorder="1" applyAlignment="1">
      <alignment horizontal="center" vertical="center"/>
    </xf>
    <xf numFmtId="49" fontId="6" fillId="0" borderId="0" xfId="0" applyNumberFormat="1" applyFont="1">
      <alignment vertical="top"/>
    </xf>
    <xf numFmtId="0" fontId="6"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0" fontId="0" fillId="0" borderId="7" xfId="0" applyNumberFormat="1" applyFont="1" applyBorder="1" applyAlignment="1">
      <alignment vertical="center"/>
    </xf>
    <xf numFmtId="0" fontId="0" fillId="0" borderId="7" xfId="0" applyNumberFormat="1" applyFont="1" applyBorder="1" applyAlignment="1">
      <alignment vertical="center"/>
    </xf>
    <xf numFmtId="49" fontId="6" fillId="0" borderId="37" xfId="0" applyNumberFormat="1" applyFont="1" applyBorder="1" applyAlignment="1">
      <alignment vertical="center"/>
    </xf>
    <xf numFmtId="49" fontId="6" fillId="0" borderId="38" xfId="0" applyNumberFormat="1" applyFont="1" applyBorder="1">
      <alignment vertical="top"/>
    </xf>
    <xf numFmtId="0" fontId="0" fillId="0" borderId="6" xfId="0" applyNumberFormat="1" applyFont="1" applyBorder="1" applyAlignment="1">
      <alignment vertical="center"/>
    </xf>
    <xf numFmtId="0" fontId="0" fillId="0" borderId="5" xfId="0" applyNumberFormat="1" applyFont="1" applyBorder="1" applyAlignment="1">
      <alignment horizontal="right" vertical="top"/>
    </xf>
    <xf numFmtId="0" fontId="0" fillId="0" borderId="5" xfId="0" applyNumberFormat="1" applyFont="1" applyBorder="1">
      <alignment vertical="top"/>
    </xf>
    <xf numFmtId="0" fontId="6" fillId="0" borderId="6" xfId="0" applyNumberFormat="1" applyFont="1" applyBorder="1" applyAlignment="1">
      <alignment vertical="center"/>
    </xf>
    <xf numFmtId="49" fontId="6" fillId="0" borderId="5" xfId="0" applyNumberFormat="1" applyFont="1" applyBorder="1" applyAlignment="1">
      <alignment vertical="center"/>
    </xf>
    <xf numFmtId="0" fontId="0" fillId="0" borderId="0" xfId="0" applyNumberFormat="1" applyFont="1">
      <alignment vertical="top"/>
    </xf>
    <xf numFmtId="0" fontId="6" fillId="0" borderId="5" xfId="0" applyNumberFormat="1" applyFont="1" applyBorder="1">
      <alignment vertical="top"/>
    </xf>
    <xf numFmtId="49" fontId="6" fillId="0" borderId="5" xfId="0" applyNumberFormat="1" applyFont="1" applyBorder="1">
      <alignment vertical="top"/>
    </xf>
    <xf numFmtId="0" fontId="6" fillId="0" borderId="0" xfId="0" applyNumberFormat="1" applyFont="1" applyAlignment="1">
      <alignment vertical="center"/>
    </xf>
    <xf numFmtId="49" fontId="6" fillId="0" borderId="7"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5" xfId="0" applyNumberFormat="1" applyFont="1" applyBorder="1">
      <alignment vertical="top"/>
    </xf>
    <xf numFmtId="49" fontId="0" fillId="0" borderId="7" xfId="0" applyNumberFormat="1" applyFont="1" applyBorder="1">
      <alignment vertical="top"/>
    </xf>
    <xf numFmtId="0" fontId="0" fillId="0" borderId="10" xfId="0" applyNumberFormat="1" applyFont="1" applyBorder="1">
      <alignment vertical="top"/>
    </xf>
    <xf numFmtId="0" fontId="6" fillId="0" borderId="10" xfId="0" applyNumberFormat="1" applyFont="1" applyBorder="1" applyAlignment="1">
      <alignment vertical="center"/>
    </xf>
    <xf numFmtId="49" fontId="6" fillId="0" borderId="24" xfId="0" applyNumberFormat="1" applyFont="1" applyBorder="1" applyAlignment="1">
      <alignment horizontal="center" vertical="center"/>
    </xf>
    <xf numFmtId="49" fontId="6" fillId="0" borderId="0" xfId="0" applyNumberFormat="1" applyFont="1">
      <alignment vertical="top"/>
    </xf>
    <xf numFmtId="49" fontId="0" fillId="12" borderId="24" xfId="0" applyNumberFormat="1" applyFont="1" applyFill="1" applyBorder="1" applyAlignment="1" applyProtection="1">
      <alignment horizontal="left" vertical="center"/>
      <protection locked="0"/>
    </xf>
    <xf numFmtId="49" fontId="0" fillId="0" borderId="5" xfId="0" applyNumberFormat="1" applyFont="1" applyBorder="1" applyAlignment="1">
      <alignment horizontal="center" vertical="center"/>
    </xf>
    <xf numFmtId="49" fontId="0" fillId="0" borderId="24" xfId="0" applyNumberFormat="1" applyFont="1" applyBorder="1" applyAlignment="1">
      <alignment horizontal="right" vertical="center"/>
    </xf>
    <xf numFmtId="0" fontId="0" fillId="11"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9" fillId="0" borderId="39" xfId="0" applyNumberFormat="1" applyFont="1" applyBorder="1" applyAlignment="1">
      <alignment horizontal="center" vertical="center"/>
    </xf>
    <xf numFmtId="0" fontId="0" fillId="0" borderId="39" xfId="0" applyNumberFormat="1" applyFont="1" applyBorder="1" applyAlignment="1">
      <alignment horizontal="center" vertical="center"/>
    </xf>
    <xf numFmtId="49" fontId="22" fillId="22" borderId="5" xfId="0" applyNumberFormat="1" applyFont="1" applyFill="1" applyBorder="1" applyAlignment="1">
      <alignment horizontal="right" vertical="center"/>
    </xf>
    <xf numFmtId="49" fontId="6" fillId="12" borderId="30" xfId="0" applyNumberFormat="1" applyFont="1" applyFill="1" applyBorder="1" applyProtection="1">
      <alignment vertical="top"/>
      <protection locked="0"/>
    </xf>
    <xf numFmtId="0" fontId="6" fillId="0" borderId="5" xfId="0" applyNumberFormat="1" applyFont="1" applyBorder="1">
      <alignment vertical="top"/>
    </xf>
    <xf numFmtId="49" fontId="6" fillId="7" borderId="16" xfId="0" applyNumberFormat="1" applyFont="1" applyFill="1" applyBorder="1">
      <alignment vertical="top"/>
    </xf>
    <xf numFmtId="49" fontId="6" fillId="7" borderId="5" xfId="0" applyNumberFormat="1" applyFont="1" applyFill="1" applyBorder="1">
      <alignment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49" fontId="0" fillId="0" borderId="0" xfId="0" applyNumberFormat="1" applyFont="1" applyAlignment="1">
      <alignment vertical="center"/>
    </xf>
    <xf numFmtId="49" fontId="22" fillId="22" borderId="7" xfId="0" applyNumberFormat="1" applyFont="1" applyFill="1" applyBorder="1" applyAlignment="1">
      <alignment horizontal="right" vertical="center"/>
    </xf>
    <xf numFmtId="0" fontId="0" fillId="23" borderId="0" xfId="0" applyNumberFormat="1" applyFont="1" applyFill="1" applyAlignment="1">
      <alignment horizontal="right" vertical="center"/>
    </xf>
    <xf numFmtId="0" fontId="90" fillId="0" borderId="40" xfId="0" applyNumberFormat="1" applyFont="1" applyBorder="1" applyAlignment="1">
      <alignment horizontal="left" vertical="center" indent="1"/>
    </xf>
    <xf numFmtId="0" fontId="90" fillId="0" borderId="41" xfId="0" applyNumberFormat="1" applyFont="1" applyBorder="1" applyAlignment="1">
      <alignment horizontal="left" vertical="center" indent="1"/>
    </xf>
    <xf numFmtId="0" fontId="90" fillId="0" borderId="42" xfId="0" applyNumberFormat="1" applyFont="1" applyBorder="1" applyAlignment="1">
      <alignment horizontal="left" vertical="center" indent="1"/>
    </xf>
    <xf numFmtId="0" fontId="6" fillId="10" borderId="0" xfId="0" applyNumberFormat="1" applyFont="1" applyFill="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49" fontId="85"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2" xfId="0" applyNumberFormat="1" applyFont="1" applyFill="1" applyBorder="1" applyAlignment="1">
      <alignment horizontal="center" wrapText="1"/>
    </xf>
    <xf numFmtId="49" fontId="60" fillId="0" borderId="32" xfId="0" applyNumberFormat="1" applyFont="1" applyBorder="1">
      <alignment vertical="top"/>
    </xf>
    <xf numFmtId="0" fontId="0" fillId="0" borderId="5"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2" xfId="0" applyNumberFormat="1" applyFont="1" applyFill="1" applyBorder="1" applyAlignment="1">
      <alignment vertical="center" wrapText="1"/>
    </xf>
    <xf numFmtId="0" fontId="6" fillId="15" borderId="5" xfId="0" applyNumberFormat="1" applyFont="1" applyFill="1" applyBorder="1" applyAlignment="1" applyProtection="1">
      <alignment horizontal="left" vertical="center" wrapText="1" indent="1"/>
      <protection locked="0"/>
    </xf>
    <xf numFmtId="49" fontId="36" fillId="22"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6" fillId="0" borderId="0" xfId="0" applyNumberFormat="1" applyFont="1">
      <alignment vertical="top"/>
    </xf>
    <xf numFmtId="49" fontId="91" fillId="0" borderId="9" xfId="0" applyNumberFormat="1" applyFont="1" applyBorder="1">
      <alignment vertical="top"/>
    </xf>
    <xf numFmtId="0" fontId="0" fillId="0" borderId="0" xfId="0" applyNumberFormat="1" applyFont="1">
      <alignment vertical="top"/>
    </xf>
    <xf numFmtId="0" fontId="36" fillId="0" borderId="0" xfId="0" applyNumberFormat="1" applyFont="1" applyAlignment="1">
      <alignment vertical="center" wrapText="1"/>
    </xf>
    <xf numFmtId="49" fontId="16" fillId="15" borderId="5" xfId="0" applyNumberFormat="1" applyFont="1" applyFill="1" applyBorder="1" applyAlignment="1" applyProtection="1">
      <alignment horizontal="left" vertical="center" wrapText="1"/>
      <protection locked="0"/>
    </xf>
    <xf numFmtId="0" fontId="6" fillId="0" borderId="7" xfId="0" applyNumberFormat="1" applyFont="1" applyBorder="1" applyAlignment="1">
      <alignment horizontal="left" vertical="center"/>
    </xf>
    <xf numFmtId="0" fontId="0" fillId="0" borderId="7" xfId="0" applyNumberFormat="1" applyFont="1" applyBorder="1" applyAlignment="1">
      <alignment horizontal="left" vertical="center"/>
    </xf>
    <xf numFmtId="49" fontId="16" fillId="15" borderId="5" xfId="0" applyNumberFormat="1" applyFont="1" applyFill="1" applyBorder="1" applyAlignment="1" applyProtection="1">
      <alignment horizontal="left" vertical="center" wrapText="1"/>
      <protection locked="0"/>
    </xf>
    <xf numFmtId="0" fontId="6" fillId="10" borderId="19" xfId="0" applyNumberFormat="1" applyFont="1" applyFill="1" applyBorder="1" applyAlignment="1">
      <alignment horizontal="right" vertical="center" wrapText="1" indent="1"/>
    </xf>
    <xf numFmtId="49" fontId="36" fillId="0" borderId="0" xfId="0" applyNumberFormat="1" applyFont="1" applyAlignment="1">
      <alignment horizontal="center" vertical="center" wrapText="1"/>
    </xf>
    <xf numFmtId="49" fontId="37" fillId="0" borderId="0" xfId="0" applyNumberFormat="1" applyFont="1" applyAlignment="1">
      <alignment horizontal="center" vertical="center" wrapText="1"/>
    </xf>
    <xf numFmtId="49" fontId="30" fillId="13" borderId="8" xfId="0" applyNumberFormat="1" applyFont="1" applyFill="1" applyBorder="1" applyAlignment="1">
      <alignment horizontal="left" vertical="center" indent="1"/>
    </xf>
    <xf numFmtId="4" fontId="6" fillId="15" borderId="24"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31" xfId="0" applyNumberFormat="1" applyFont="1" applyBorder="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3" borderId="43" xfId="0" applyNumberFormat="1" applyFont="1" applyFill="1" applyBorder="1" applyAlignment="1">
      <alignment vertical="center" wrapText="1"/>
    </xf>
    <xf numFmtId="0" fontId="6" fillId="13" borderId="44" xfId="0" applyNumberFormat="1" applyFont="1" applyFill="1" applyBorder="1" applyAlignment="1">
      <alignment vertical="center" wrapText="1"/>
    </xf>
    <xf numFmtId="49" fontId="92" fillId="13" borderId="7" xfId="0" applyNumberFormat="1" applyFont="1" applyFill="1" applyBorder="1" applyAlignment="1">
      <alignment horizontal="left" vertical="center" indent="1"/>
    </xf>
    <xf numFmtId="49" fontId="92" fillId="13" borderId="8" xfId="0" applyNumberFormat="1" applyFont="1" applyFill="1" applyBorder="1" applyAlignment="1">
      <alignment horizontal="left" vertical="center" indent="1"/>
    </xf>
    <xf numFmtId="49" fontId="81" fillId="13" borderId="36" xfId="0" applyNumberFormat="1" applyFont="1" applyFill="1" applyBorder="1" applyAlignment="1">
      <alignment horizontal="center" vertical="center"/>
    </xf>
    <xf numFmtId="49" fontId="92" fillId="13" borderId="36" xfId="0" applyNumberFormat="1" applyFont="1" applyFill="1" applyBorder="1" applyAlignment="1">
      <alignment horizontal="left" vertical="center" indent="1"/>
    </xf>
    <xf numFmtId="0" fontId="35" fillId="16" borderId="5" xfId="0" applyNumberFormat="1" applyFont="1" applyFill="1" applyBorder="1" applyAlignment="1">
      <alignment horizontal="left" vertical="center" wrapText="1" indent="1"/>
    </xf>
    <xf numFmtId="49" fontId="35" fillId="13" borderId="8" xfId="0" applyNumberFormat="1" applyFont="1" applyFill="1" applyBorder="1" applyAlignment="1">
      <alignment vertical="top" wrapText="1"/>
    </xf>
    <xf numFmtId="49" fontId="35" fillId="13" borderId="6" xfId="0" applyNumberFormat="1" applyFont="1" applyFill="1" applyBorder="1" applyAlignment="1">
      <alignment vertical="top" wrapText="1"/>
    </xf>
    <xf numFmtId="49" fontId="35" fillId="13" borderId="45" xfId="0" applyNumberFormat="1" applyFont="1" applyFill="1" applyBorder="1" applyAlignment="1">
      <alignment vertical="top" wrapText="1"/>
    </xf>
    <xf numFmtId="49" fontId="92" fillId="13" borderId="45" xfId="0" applyNumberFormat="1" applyFont="1" applyFill="1" applyBorder="1" applyAlignment="1">
      <alignment horizontal="left" vertical="center" indent="1"/>
    </xf>
    <xf numFmtId="0" fontId="6" fillId="13" borderId="46" xfId="0" applyNumberFormat="1" applyFont="1" applyFill="1" applyBorder="1" applyAlignment="1">
      <alignment vertical="center" wrapText="1"/>
    </xf>
    <xf numFmtId="0" fontId="6" fillId="10" borderId="32" xfId="0" applyNumberFormat="1" applyFont="1" applyFill="1" applyBorder="1" applyAlignment="1">
      <alignment vertical="center" wrapText="1"/>
    </xf>
    <xf numFmtId="0" fontId="0" fillId="0" borderId="42" xfId="0" applyNumberFormat="1" applyFont="1" applyBorder="1" applyAlignment="1">
      <alignment horizontal="left" vertical="center" wrapText="1"/>
    </xf>
    <xf numFmtId="0" fontId="6" fillId="0" borderId="42" xfId="0" applyNumberFormat="1" applyFont="1" applyBorder="1" applyAlignment="1">
      <alignment vertical="center" wrapText="1"/>
    </xf>
    <xf numFmtId="0" fontId="6" fillId="0" borderId="47" xfId="0" applyNumberFormat="1" applyFont="1" applyBorder="1" applyAlignment="1">
      <alignment vertical="center" wrapText="1"/>
    </xf>
    <xf numFmtId="0" fontId="6" fillId="0" borderId="48" xfId="0" applyNumberFormat="1" applyFont="1" applyBorder="1" applyAlignment="1">
      <alignment vertical="center" wrapText="1"/>
    </xf>
    <xf numFmtId="0" fontId="6" fillId="16" borderId="5" xfId="0" applyNumberFormat="1" applyFont="1" applyFill="1" applyBorder="1" applyAlignment="1">
      <alignment horizontal="left" vertical="center" wrapText="1" indent="1"/>
    </xf>
    <xf numFmtId="0" fontId="0" fillId="13" borderId="43" xfId="0" applyNumberFormat="1" applyFont="1" applyFill="1" applyBorder="1" applyAlignment="1">
      <alignment horizontal="left" vertical="center"/>
    </xf>
    <xf numFmtId="0" fontId="6" fillId="10" borderId="5" xfId="0" applyNumberFormat="1" applyFont="1" applyFill="1" applyBorder="1" applyAlignment="1">
      <alignment horizontal="center" vertical="center" wrapText="1"/>
    </xf>
    <xf numFmtId="49" fontId="26" fillId="0" borderId="5" xfId="0" applyNumberFormat="1" applyFont="1" applyBorder="1" applyAlignment="1">
      <alignment horizontal="center" vertical="center"/>
    </xf>
    <xf numFmtId="49" fontId="26" fillId="7" borderId="5" xfId="0" applyNumberFormat="1" applyFont="1" applyFill="1" applyBorder="1" applyAlignment="1">
      <alignment horizontal="center" vertical="center"/>
    </xf>
    <xf numFmtId="0" fontId="26" fillId="0" borderId="5"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6" fillId="0" borderId="0" xfId="0" applyNumberFormat="1" applyFont="1" applyAlignment="1">
      <alignment vertical="center"/>
    </xf>
    <xf numFmtId="49" fontId="36" fillId="0" borderId="1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right" vertical="center"/>
    </xf>
    <xf numFmtId="0" fontId="6" fillId="0" borderId="10" xfId="0" applyNumberFormat="1" applyFont="1" applyBorder="1" applyAlignment="1">
      <alignment horizontal="center" vertical="center"/>
    </xf>
    <xf numFmtId="0" fontId="6" fillId="0" borderId="5" xfId="0" applyNumberFormat="1" applyFont="1" applyBorder="1" applyAlignment="1">
      <alignment horizontal="right" vertical="center"/>
    </xf>
    <xf numFmtId="49" fontId="6" fillId="0" borderId="0" xfId="0" applyNumberFormat="1" applyFont="1" applyAlignment="1">
      <alignment vertical="center"/>
    </xf>
    <xf numFmtId="49" fontId="6" fillId="0" borderId="49" xfId="0" applyNumberFormat="1" applyFont="1" applyBorder="1" applyAlignment="1">
      <alignment horizontal="center" vertical="center"/>
    </xf>
    <xf numFmtId="0" fontId="6" fillId="0" borderId="49" xfId="0" applyNumberFormat="1" applyFont="1" applyBorder="1" applyAlignment="1">
      <alignment horizontal="right" vertical="center"/>
    </xf>
    <xf numFmtId="0" fontId="6" fillId="0" borderId="49" xfId="0" applyNumberFormat="1" applyFont="1" applyBorder="1" applyAlignment="1">
      <alignment horizontal="center" vertical="center"/>
    </xf>
    <xf numFmtId="0" fontId="6" fillId="0" borderId="8" xfId="0" applyNumberFormat="1" applyFont="1" applyBorder="1" applyAlignment="1">
      <alignment horizontal="right" vertical="center"/>
    </xf>
    <xf numFmtId="0" fontId="6" fillId="0" borderId="6" xfId="0" applyNumberFormat="1" applyFont="1" applyBorder="1" applyAlignment="1">
      <alignment horizontal="right" vertical="center"/>
    </xf>
    <xf numFmtId="0" fontId="6" fillId="10" borderId="5" xfId="0" applyNumberFormat="1" applyFont="1" applyFill="1" applyBorder="1" applyAlignment="1">
      <alignment horizontal="center" vertical="center"/>
    </xf>
    <xf numFmtId="0" fontId="6" fillId="16" borderId="5" xfId="0" applyNumberFormat="1" applyFont="1" applyFill="1" applyBorder="1" applyAlignment="1">
      <alignment horizontal="left" vertical="center" wrapText="1" indent="1"/>
    </xf>
    <xf numFmtId="0" fontId="6" fillId="15" borderId="5" xfId="0" applyNumberFormat="1" applyFont="1" applyFill="1" applyBorder="1" applyAlignment="1" applyProtection="1">
      <alignment horizontal="left" vertical="center" wrapText="1" indent="1"/>
      <protection locked="0"/>
    </xf>
    <xf numFmtId="0" fontId="6" fillId="7" borderId="5" xfId="0" applyNumberFormat="1" applyFont="1" applyFill="1" applyBorder="1" applyAlignment="1">
      <alignment horizontal="right" vertical="center"/>
    </xf>
    <xf numFmtId="4" fontId="6" fillId="12" borderId="5" xfId="0" applyNumberFormat="1" applyFont="1" applyFill="1" applyBorder="1" applyAlignment="1" applyProtection="1">
      <alignment horizontal="right" vertical="center"/>
      <protection locked="0"/>
    </xf>
    <xf numFmtId="49" fontId="30" fillId="13" borderId="50" xfId="0" applyNumberFormat="1" applyFont="1" applyFill="1" applyBorder="1" applyAlignment="1">
      <alignment horizontal="left" vertical="center" indent="1"/>
    </xf>
    <xf numFmtId="49" fontId="30" fillId="13" borderId="44" xfId="0" applyNumberFormat="1" applyFont="1" applyFill="1" applyBorder="1" applyAlignment="1">
      <alignment horizontal="left" vertical="center" indent="1"/>
    </xf>
    <xf numFmtId="49" fontId="30" fillId="27" borderId="6" xfId="0" applyNumberFormat="1" applyFont="1" applyFill="1" applyBorder="1" applyAlignment="1">
      <alignment horizontal="left" vertical="center" indent="1"/>
    </xf>
    <xf numFmtId="49" fontId="6" fillId="0" borderId="0" xfId="0" applyNumberFormat="1" applyFont="1">
      <alignment vertical="top"/>
    </xf>
    <xf numFmtId="0" fontId="6" fillId="23"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0" fontId="6" fillId="10" borderId="12" xfId="0" applyNumberFormat="1" applyFont="1" applyFill="1" applyBorder="1" applyAlignment="1">
      <alignment vertical="center" wrapText="1"/>
    </xf>
    <xf numFmtId="49" fontId="37" fillId="0" borderId="0" xfId="0" applyNumberFormat="1" applyFont="1">
      <alignment vertical="top"/>
    </xf>
    <xf numFmtId="0" fontId="37" fillId="0" borderId="32" xfId="0" applyNumberFormat="1" applyFont="1" applyBorder="1" applyAlignment="1">
      <alignment vertical="center" wrapText="1"/>
    </xf>
    <xf numFmtId="49" fontId="0" fillId="0" borderId="5" xfId="0" applyNumberFormat="1" applyFont="1" applyBorder="1" applyAlignment="1">
      <alignment horizontal="center" vertical="center"/>
    </xf>
    <xf numFmtId="49" fontId="0" fillId="0" borderId="5" xfId="0" applyNumberFormat="1" applyFont="1" applyBorder="1" applyAlignment="1">
      <alignment horizontal="center" vertical="center" wrapText="1"/>
    </xf>
    <xf numFmtId="49" fontId="0" fillId="11" borderId="5" xfId="0" applyNumberFormat="1" applyFont="1" applyFill="1" applyBorder="1" applyAlignment="1">
      <alignment horizontal="center" vertical="center"/>
    </xf>
    <xf numFmtId="49" fontId="6" fillId="0" borderId="15" xfId="0" applyNumberFormat="1" applyFont="1" applyBorder="1">
      <alignment vertical="top"/>
    </xf>
    <xf numFmtId="0" fontId="6" fillId="0" borderId="15" xfId="0" applyNumberFormat="1" applyFont="1" applyBorder="1" applyAlignment="1">
      <alignment vertical="center" wrapText="1"/>
    </xf>
    <xf numFmtId="4" fontId="0" fillId="12" borderId="5" xfId="0" applyNumberFormat="1" applyFont="1" applyFill="1" applyBorder="1" applyAlignment="1" applyProtection="1">
      <alignment horizontal="right" vertical="center" wrapText="1"/>
      <protection locked="0"/>
    </xf>
    <xf numFmtId="4" fontId="0" fillId="11" borderId="5" xfId="0" applyNumberFormat="1" applyFont="1" applyFill="1" applyBorder="1" applyAlignment="1">
      <alignment horizontal="right" vertical="center" wrapText="1"/>
    </xf>
    <xf numFmtId="49" fontId="0" fillId="0" borderId="5" xfId="0" applyNumberFormat="1" applyFont="1" applyBorder="1" applyAlignment="1">
      <alignment horizontal="left" vertical="center" wrapText="1" indent="2"/>
    </xf>
    <xf numFmtId="49" fontId="0" fillId="0" borderId="5" xfId="0" applyNumberFormat="1" applyFont="1" applyBorder="1" applyAlignment="1">
      <alignment horizontal="left" vertical="center" wrapText="1" indent="3"/>
    </xf>
    <xf numFmtId="49" fontId="0" fillId="0" borderId="5" xfId="0" applyNumberFormat="1" applyFont="1" applyBorder="1" applyAlignment="1">
      <alignment horizontal="left" vertical="center" wrapText="1"/>
    </xf>
    <xf numFmtId="0" fontId="6" fillId="0" borderId="31" xfId="0" applyNumberFormat="1" applyFont="1" applyBorder="1" applyAlignment="1">
      <alignment vertical="center"/>
    </xf>
    <xf numFmtId="49" fontId="30" fillId="13" borderId="8" xfId="0" applyNumberFormat="1" applyFont="1" applyFill="1" applyBorder="1" applyAlignment="1">
      <alignment horizontal="left" vertical="center" indent="1"/>
    </xf>
    <xf numFmtId="49" fontId="6" fillId="15" borderId="10"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20" xfId="0" applyNumberFormat="1" applyFont="1" applyFill="1" applyBorder="1" applyAlignment="1">
      <alignment vertical="center" wrapText="1"/>
    </xf>
    <xf numFmtId="0" fontId="37" fillId="10" borderId="12" xfId="0" applyNumberFormat="1" applyFont="1" applyFill="1" applyBorder="1" applyAlignment="1">
      <alignment horizontal="center" vertical="center" wrapText="1"/>
    </xf>
    <xf numFmtId="49" fontId="59" fillId="0" borderId="0" xfId="0" applyNumberFormat="1" applyFont="1" applyAlignment="1">
      <alignment vertical="center" wrapText="1"/>
    </xf>
    <xf numFmtId="0" fontId="93" fillId="10" borderId="0" xfId="0" applyNumberFormat="1" applyFont="1" applyFill="1" applyAlignment="1">
      <alignment vertical="center" wrapText="1"/>
    </xf>
    <xf numFmtId="0" fontId="6" fillId="0" borderId="0" xfId="0" applyNumberFormat="1" applyFont="1" applyAlignment="1">
      <alignment vertical="center"/>
    </xf>
    <xf numFmtId="49" fontId="37"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7"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4" fillId="10" borderId="0" xfId="0" applyNumberFormat="1" applyFont="1" applyFill="1" applyAlignment="1">
      <alignment vertical="center" wrapText="1"/>
    </xf>
    <xf numFmtId="49" fontId="67" fillId="10" borderId="12" xfId="0" applyNumberFormat="1" applyFont="1" applyFill="1" applyBorder="1" applyAlignment="1">
      <alignment horizontal="center" vertical="center" wrapText="1"/>
    </xf>
    <xf numFmtId="0" fontId="67" fillId="10" borderId="12" xfId="0" applyNumberFormat="1" applyFont="1" applyFill="1" applyBorder="1" applyAlignment="1">
      <alignment horizontal="center" vertical="center" wrapText="1"/>
    </xf>
    <xf numFmtId="167" fontId="6" fillId="12" borderId="5" xfId="0" applyNumberFormat="1" applyFont="1" applyFill="1" applyBorder="1" applyAlignment="1" applyProtection="1">
      <alignment horizontal="right" vertical="center" wrapText="1"/>
      <protection locked="0"/>
    </xf>
    <xf numFmtId="0" fontId="35" fillId="0" borderId="5" xfId="0" applyNumberFormat="1" applyFont="1" applyBorder="1" applyAlignment="1">
      <alignment vertical="top" wrapText="1"/>
    </xf>
    <xf numFmtId="0" fontId="6" fillId="16" borderId="5"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5"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95"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6" fillId="13" borderId="8" xfId="0" applyNumberFormat="1" applyFont="1" applyFill="1" applyBorder="1" applyAlignment="1">
      <alignment horizontal="left" vertical="center" indent="3"/>
    </xf>
    <xf numFmtId="49" fontId="59" fillId="13" borderId="8" xfId="0" applyNumberFormat="1" applyFont="1" applyFill="1" applyBorder="1" applyAlignment="1">
      <alignment horizontal="center" vertical="center" wrapText="1"/>
    </xf>
    <xf numFmtId="49" fontId="54" fillId="13" borderId="8" xfId="0" applyNumberFormat="1" applyFont="1" applyFill="1" applyBorder="1" applyAlignment="1">
      <alignment horizontal="center" vertical="center" wrapText="1"/>
    </xf>
    <xf numFmtId="49" fontId="54" fillId="13" borderId="6" xfId="0" applyNumberFormat="1" applyFont="1" applyFill="1" applyBorder="1" applyAlignment="1">
      <alignment horizontal="center" vertical="center" wrapText="1"/>
    </xf>
    <xf numFmtId="49" fontId="96" fillId="13" borderId="8" xfId="0" applyNumberFormat="1" applyFont="1" applyFill="1" applyBorder="1" applyAlignment="1">
      <alignment horizontal="left" vertical="center" indent="2"/>
    </xf>
    <xf numFmtId="49" fontId="96" fillId="13" borderId="8" xfId="0" applyNumberFormat="1" applyFont="1" applyFill="1" applyBorder="1" applyAlignment="1">
      <alignment horizontal="left" vertical="center" indent="1"/>
    </xf>
    <xf numFmtId="49" fontId="96" fillId="13" borderId="8"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7" fillId="10" borderId="12" xfId="0" applyNumberFormat="1" applyFont="1" applyFill="1" applyBorder="1" applyAlignment="1">
      <alignment horizontal="left" vertical="center" wrapText="1"/>
    </xf>
    <xf numFmtId="49" fontId="60" fillId="13" borderId="7" xfId="0" applyNumberFormat="1" applyFont="1" applyFill="1" applyBorder="1" applyAlignment="1">
      <alignment horizontal="left" vertical="center"/>
    </xf>
    <xf numFmtId="49" fontId="88" fillId="13" borderId="7" xfId="0" applyNumberFormat="1" applyFont="1" applyFill="1" applyBorder="1" applyAlignment="1">
      <alignment horizontal="left" vertical="center"/>
    </xf>
    <xf numFmtId="49" fontId="54" fillId="13" borderId="7" xfId="0" applyNumberFormat="1" applyFont="1" applyFill="1" applyBorder="1" applyAlignment="1">
      <alignment horizontal="left" vertical="top"/>
    </xf>
    <xf numFmtId="0" fontId="0" fillId="23" borderId="0" xfId="0" applyNumberFormat="1" applyFont="1" applyFill="1" applyAlignment="1">
      <alignment horizontal="right" vertical="center"/>
    </xf>
    <xf numFmtId="0" fontId="37" fillId="0" borderId="5" xfId="0" applyNumberFormat="1" applyFont="1" applyBorder="1" applyAlignment="1">
      <alignment horizontal="center" vertical="center"/>
    </xf>
    <xf numFmtId="0" fontId="6" fillId="0" borderId="5"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7" fillId="10" borderId="12"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0" fontId="41" fillId="23" borderId="0" xfId="0" applyNumberFormat="1" applyFont="1" applyFill="1" applyAlignment="1">
      <alignment horizontal="left" vertical="center"/>
    </xf>
    <xf numFmtId="49" fontId="6" fillId="0" borderId="13"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3" xfId="0" applyNumberFormat="1" applyFont="1" applyBorder="1" applyAlignment="1">
      <alignment horizontal="left" vertical="center"/>
    </xf>
    <xf numFmtId="0" fontId="30"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0" fillId="0" borderId="22"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35" fillId="0" borderId="10" xfId="0" applyNumberFormat="1" applyFont="1" applyBorder="1" applyAlignment="1">
      <alignment vertical="top" wrapText="1"/>
    </xf>
    <xf numFmtId="0" fontId="6" fillId="10" borderId="5"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7" fillId="10" borderId="12"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left" vertical="center" wrapText="1"/>
    </xf>
    <xf numFmtId="49" fontId="37" fillId="0" borderId="0" xfId="0" applyNumberFormat="1" applyFont="1">
      <alignment vertical="top"/>
    </xf>
    <xf numFmtId="49" fontId="94" fillId="0" borderId="0" xfId="0" applyNumberFormat="1" applyFont="1">
      <alignment vertical="top"/>
    </xf>
    <xf numFmtId="49" fontId="84" fillId="0" borderId="12" xfId="0" applyNumberFormat="1" applyFont="1" applyBorder="1" applyAlignment="1">
      <alignment horizontal="left" vertical="center"/>
    </xf>
    <xf numFmtId="49" fontId="37" fillId="0" borderId="12" xfId="0" applyNumberFormat="1" applyFont="1" applyBorder="1" applyAlignment="1">
      <alignment horizontal="left" vertical="center" indent="3"/>
    </xf>
    <xf numFmtId="49" fontId="37" fillId="0" borderId="12" xfId="0" applyNumberFormat="1" applyFont="1" applyBorder="1" applyAlignment="1">
      <alignment horizontal="center" vertical="center" wrapText="1"/>
    </xf>
    <xf numFmtId="49" fontId="37" fillId="0" borderId="0" xfId="0" applyNumberFormat="1" applyFont="1" applyAlignment="1">
      <alignment horizontal="left" vertical="center"/>
    </xf>
    <xf numFmtId="49" fontId="84" fillId="0" borderId="0" xfId="0" applyNumberFormat="1" applyFont="1" applyAlignment="1">
      <alignment horizontal="left" vertical="center"/>
    </xf>
    <xf numFmtId="49" fontId="37" fillId="0" borderId="0" xfId="0" applyNumberFormat="1" applyFont="1" applyAlignment="1">
      <alignment horizontal="left" vertical="center" indent="2"/>
    </xf>
    <xf numFmtId="49" fontId="37" fillId="0" borderId="0" xfId="0" applyNumberFormat="1" applyFont="1" applyAlignment="1">
      <alignment horizontal="center" vertical="center" wrapText="1"/>
    </xf>
    <xf numFmtId="49" fontId="37"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37"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7" fillId="10" borderId="0" xfId="0" applyNumberFormat="1" applyFont="1" applyFill="1" applyAlignment="1">
      <alignment horizontal="center" vertical="center" wrapText="1"/>
    </xf>
    <xf numFmtId="49" fontId="6" fillId="0" borderId="5" xfId="0" applyNumberFormat="1" applyFont="1" applyBorder="1" applyAlignment="1">
      <alignment horizontal="left" vertical="center" wrapText="1"/>
    </xf>
    <xf numFmtId="0" fontId="37" fillId="0" borderId="0" xfId="0" applyNumberFormat="1" applyFont="1" applyAlignment="1">
      <alignment horizontal="left" vertical="center" indent="1"/>
    </xf>
    <xf numFmtId="49" fontId="94" fillId="0" borderId="0" xfId="0" applyNumberFormat="1" applyFont="1">
      <alignment vertical="top"/>
    </xf>
    <xf numFmtId="49" fontId="6" fillId="0" borderId="5" xfId="0" applyNumberFormat="1" applyFont="1" applyBorder="1" applyAlignment="1">
      <alignment vertical="center" wrapText="1"/>
    </xf>
    <xf numFmtId="0" fontId="37" fillId="0" borderId="0" xfId="0" applyNumberFormat="1" applyFont="1" applyAlignment="1">
      <alignment horizontal="center" vertical="center"/>
    </xf>
    <xf numFmtId="0" fontId="6" fillId="16" borderId="5" xfId="0" applyNumberFormat="1" applyFont="1" applyFill="1" applyBorder="1" applyAlignment="1">
      <alignment horizontal="left" vertical="center" wrapText="1" indent="6"/>
    </xf>
    <xf numFmtId="4" fontId="6" fillId="0" borderId="10" xfId="0" applyNumberFormat="1" applyFont="1" applyBorder="1" applyAlignment="1">
      <alignment horizontal="right" vertical="center" wrapText="1"/>
    </xf>
    <xf numFmtId="4" fontId="6" fillId="0" borderId="16" xfId="0" applyNumberFormat="1" applyFont="1" applyBorder="1" applyAlignment="1">
      <alignment horizontal="right" vertical="center" wrapText="1"/>
    </xf>
    <xf numFmtId="0" fontId="0" fillId="0" borderId="0" xfId="0" applyNumberFormat="1" applyFont="1" applyAlignment="1">
      <alignment vertical="center"/>
    </xf>
    <xf numFmtId="0" fontId="6" fillId="0" borderId="10"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49" fontId="6" fillId="0" borderId="5" xfId="0" applyNumberFormat="1" applyFont="1" applyBorder="1" applyAlignment="1">
      <alignment horizontal="left" vertical="center" wrapText="1"/>
    </xf>
    <xf numFmtId="4" fontId="36" fillId="0" borderId="5" xfId="0" applyNumberFormat="1" applyFont="1" applyBorder="1" applyAlignment="1">
      <alignment horizontal="right" vertical="center" wrapText="1"/>
    </xf>
    <xf numFmtId="167" fontId="36" fillId="0" borderId="5" xfId="0" applyNumberFormat="1" applyFont="1" applyBorder="1" applyAlignment="1">
      <alignment horizontal="right" vertical="center" wrapText="1"/>
    </xf>
    <xf numFmtId="49" fontId="36" fillId="0" borderId="0" xfId="0" applyNumberFormat="1" applyFont="1" applyAlignment="1">
      <alignment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36" fillId="0" borderId="0" xfId="0" applyNumberFormat="1" applyFont="1" applyAlignment="1">
      <alignment horizontal="center" vertical="center"/>
    </xf>
    <xf numFmtId="0" fontId="36" fillId="0" borderId="0" xfId="0" applyNumberFormat="1" applyFont="1" applyAlignment="1">
      <alignment vertical="center"/>
    </xf>
    <xf numFmtId="0" fontId="56" fillId="0" borderId="0" xfId="0" applyNumberFormat="1" applyFont="1" applyAlignment="1">
      <alignment vertical="center" wrapText="1"/>
    </xf>
    <xf numFmtId="0" fontId="0" fillId="0" borderId="8" xfId="0" applyNumberFormat="1" applyFont="1" applyBorder="1" applyAlignment="1">
      <alignment vertical="center"/>
    </xf>
    <xf numFmtId="0" fontId="37" fillId="0" borderId="5" xfId="0" applyNumberFormat="1" applyFont="1" applyBorder="1" applyAlignment="1">
      <alignment horizontal="center" vertical="center" wrapText="1"/>
    </xf>
    <xf numFmtId="0" fontId="59" fillId="0" borderId="0" xfId="0" applyNumberFormat="1" applyFont="1" applyAlignment="1">
      <alignment horizontal="left" vertical="center" indent="1"/>
    </xf>
    <xf numFmtId="0" fontId="59" fillId="0" borderId="0" xfId="0" applyNumberFormat="1" applyFont="1" applyAlignment="1">
      <alignment horizontal="left" vertical="center" indent="1"/>
    </xf>
    <xf numFmtId="0" fontId="37" fillId="0" borderId="5" xfId="0" applyNumberFormat="1" applyFont="1" applyBorder="1" applyAlignment="1">
      <alignment vertical="center" wrapText="1"/>
    </xf>
    <xf numFmtId="0" fontId="59" fillId="0" borderId="0" xfId="0" applyNumberFormat="1" applyFont="1" applyAlignment="1">
      <alignment horizontal="center" vertical="center"/>
    </xf>
    <xf numFmtId="0" fontId="59" fillId="0" borderId="0" xfId="0" applyNumberFormat="1" applyFont="1" applyAlignment="1">
      <alignment horizontal="left" vertical="center" wrapText="1"/>
    </xf>
    <xf numFmtId="49" fontId="59" fillId="0" borderId="0" xfId="0" applyNumberFormat="1" applyFont="1" applyAlignment="1">
      <alignment horizontal="left" vertical="center"/>
    </xf>
    <xf numFmtId="0" fontId="6" fillId="0" borderId="0" xfId="0" applyNumberFormat="1" applyFont="1" applyAlignment="1">
      <alignment horizontal="center" vertical="center"/>
    </xf>
    <xf numFmtId="0" fontId="59" fillId="0" borderId="0" xfId="0" applyNumberFormat="1" applyFont="1" applyAlignment="1">
      <alignment horizontal="center" vertical="center"/>
    </xf>
    <xf numFmtId="4" fontId="6" fillId="0" borderId="6" xfId="0" applyNumberFormat="1" applyFont="1" applyBorder="1" applyAlignment="1">
      <alignment horizontal="right" vertical="center" wrapText="1"/>
    </xf>
    <xf numFmtId="0" fontId="37" fillId="0" borderId="5" xfId="0" applyNumberFormat="1" applyFont="1" applyBorder="1" applyAlignment="1">
      <alignment horizontal="left" vertical="center" wrapText="1" indent="4"/>
    </xf>
    <xf numFmtId="0" fontId="37" fillId="0" borderId="5" xfId="0" applyNumberFormat="1" applyFont="1" applyBorder="1" applyAlignment="1">
      <alignment horizontal="left" vertical="center" wrapText="1" indent="6"/>
    </xf>
    <xf numFmtId="0" fontId="37" fillId="0" borderId="5" xfId="0" applyNumberFormat="1" applyFont="1" applyBorder="1" applyAlignment="1">
      <alignment vertical="top" wrapText="1"/>
    </xf>
    <xf numFmtId="49" fontId="84" fillId="0" borderId="7" xfId="0" applyNumberFormat="1" applyFont="1" applyBorder="1" applyAlignment="1">
      <alignment horizontal="left" vertical="center"/>
    </xf>
    <xf numFmtId="49" fontId="37" fillId="0" borderId="8" xfId="0" applyNumberFormat="1" applyFont="1" applyBorder="1" applyAlignment="1">
      <alignment horizontal="left" vertical="center" indent="4"/>
    </xf>
    <xf numFmtId="49" fontId="37" fillId="0" borderId="8" xfId="0" applyNumberFormat="1" applyFont="1" applyBorder="1" applyAlignment="1">
      <alignment horizontal="center" vertical="center" wrapText="1"/>
    </xf>
    <xf numFmtId="49" fontId="37" fillId="0" borderId="6" xfId="0" applyNumberFormat="1" applyFont="1" applyBorder="1" applyAlignment="1">
      <alignment horizontal="center" vertical="center" wrapText="1"/>
    </xf>
    <xf numFmtId="4" fontId="6" fillId="0" borderId="29" xfId="0" applyNumberFormat="1" applyFont="1" applyBorder="1" applyAlignment="1">
      <alignment horizontal="right" vertical="center" wrapText="1"/>
    </xf>
    <xf numFmtId="0" fontId="6" fillId="12" borderId="5" xfId="0" applyNumberFormat="1" applyFont="1" applyFill="1" applyBorder="1" applyAlignment="1" applyProtection="1">
      <alignment horizontal="left" vertical="center" wrapText="1" indent="7"/>
      <protection locked="0"/>
    </xf>
    <xf numFmtId="0" fontId="6" fillId="13" borderId="8" xfId="0" applyNumberFormat="1" applyFont="1" applyFill="1" applyBorder="1" applyAlignment="1">
      <alignment horizontal="left" vertical="center" wrapText="1" indent="6"/>
    </xf>
    <xf numFmtId="4" fontId="6" fillId="13" borderId="8" xfId="0" applyNumberFormat="1" applyFont="1" applyFill="1" applyBorder="1" applyAlignment="1">
      <alignment horizontal="right" vertical="center" wrapText="1"/>
    </xf>
    <xf numFmtId="4" fontId="37" fillId="13" borderId="8" xfId="0" applyNumberFormat="1" applyFont="1" applyFill="1" applyBorder="1" applyAlignment="1">
      <alignment horizontal="center" vertical="center" wrapText="1"/>
    </xf>
    <xf numFmtId="4" fontId="6" fillId="13" borderId="6" xfId="0" applyNumberFormat="1" applyFont="1" applyFill="1" applyBorder="1" applyAlignment="1">
      <alignment horizontal="right" vertical="center" wrapText="1"/>
    </xf>
    <xf numFmtId="4" fontId="37" fillId="13" borderId="6" xfId="0" applyNumberFormat="1" applyFont="1" applyFill="1" applyBorder="1" applyAlignment="1">
      <alignment horizontal="center" vertical="center" wrapText="1"/>
    </xf>
    <xf numFmtId="167" fontId="6" fillId="13" borderId="6" xfId="0" applyNumberFormat="1" applyFont="1" applyFill="1" applyBorder="1" applyAlignment="1">
      <alignment horizontal="right" vertical="center" wrapText="1"/>
    </xf>
    <xf numFmtId="0" fontId="6" fillId="16" borderId="5" xfId="0" applyNumberFormat="1" applyFont="1" applyFill="1" applyBorder="1" applyAlignment="1">
      <alignment horizontal="left" vertical="center" wrapText="1" indent="1"/>
    </xf>
    <xf numFmtId="0" fontId="37" fillId="0" borderId="5" xfId="0" applyNumberFormat="1" applyFont="1" applyBorder="1" applyAlignment="1">
      <alignment horizontal="left" vertical="center" wrapText="1" indent="5"/>
    </xf>
    <xf numFmtId="49" fontId="59" fillId="0" borderId="17" xfId="0" applyNumberFormat="1" applyFont="1" applyBorder="1">
      <alignment vertical="top"/>
    </xf>
    <xf numFmtId="49" fontId="37" fillId="0" borderId="17" xfId="0" applyNumberFormat="1" applyFont="1" applyBorder="1">
      <alignment vertical="top"/>
    </xf>
    <xf numFmtId="0" fontId="6" fillId="0" borderId="5" xfId="0" applyNumberFormat="1" applyFont="1" applyBorder="1" applyAlignment="1">
      <alignment horizontal="left" vertical="center" wrapText="1" indent="1"/>
    </xf>
    <xf numFmtId="4" fontId="37" fillId="0" borderId="5" xfId="0" applyNumberFormat="1" applyFont="1" applyBorder="1" applyAlignment="1">
      <alignment horizontal="right" vertical="center" wrapText="1"/>
    </xf>
    <xf numFmtId="167" fontId="37" fillId="0" borderId="5" xfId="0" applyNumberFormat="1" applyFont="1" applyBorder="1" applyAlignment="1">
      <alignment horizontal="right" vertical="center" wrapText="1"/>
    </xf>
    <xf numFmtId="167" fontId="6" fillId="12" borderId="7" xfId="0" applyNumberFormat="1" applyFont="1" applyFill="1" applyBorder="1" applyAlignment="1" applyProtection="1">
      <alignment horizontal="right" vertical="center" wrapText="1"/>
      <protection locked="0"/>
    </xf>
    <xf numFmtId="4" fontId="37" fillId="0" borderId="7" xfId="0" applyNumberFormat="1" applyFont="1" applyBorder="1" applyAlignment="1">
      <alignment horizontal="center" vertical="center" wrapText="1"/>
    </xf>
    <xf numFmtId="4" fontId="6" fillId="12" borderId="6" xfId="0" applyNumberFormat="1" applyFont="1" applyFill="1" applyBorder="1" applyAlignment="1" applyProtection="1">
      <alignment horizontal="right" vertical="center" wrapText="1"/>
      <protection locked="0"/>
    </xf>
    <xf numFmtId="49" fontId="6" fillId="13" borderId="20" xfId="0" applyNumberFormat="1" applyFont="1" applyFill="1" applyBorder="1" applyAlignment="1">
      <alignment horizontal="center" vertical="center" wrapText="1"/>
    </xf>
    <xf numFmtId="49" fontId="36" fillId="0" borderId="0" xfId="0" applyNumberFormat="1" applyFont="1" applyAlignment="1">
      <alignment vertical="center" wrapText="1"/>
    </xf>
    <xf numFmtId="0" fontId="36" fillId="0" borderId="0" xfId="0" applyNumberFormat="1" applyFont="1" applyAlignment="1">
      <alignment horizontal="center" vertical="center" wrapText="1"/>
    </xf>
    <xf numFmtId="0" fontId="43" fillId="10" borderId="0" xfId="0" applyNumberFormat="1" applyFont="1" applyFill="1" applyAlignment="1">
      <alignment horizontal="center" vertical="center" wrapText="1"/>
    </xf>
    <xf numFmtId="0" fontId="43" fillId="0" borderId="0" xfId="0" applyNumberFormat="1" applyFont="1" applyAlignment="1">
      <alignment vertical="center" wrapText="1"/>
    </xf>
    <xf numFmtId="0" fontId="37" fillId="0" borderId="0" xfId="0" applyNumberFormat="1" applyFont="1" applyAlignment="1">
      <alignment vertical="center"/>
    </xf>
    <xf numFmtId="0" fontId="38" fillId="0" borderId="0" xfId="0" applyNumberFormat="1" applyFont="1" applyAlignment="1">
      <alignment vertical="center"/>
    </xf>
    <xf numFmtId="0" fontId="37" fillId="0" borderId="0" xfId="0" applyNumberFormat="1" applyFont="1" applyAlignment="1">
      <alignment vertical="center"/>
    </xf>
    <xf numFmtId="0" fontId="37"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0" borderId="12"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7"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0" borderId="0" xfId="0" applyNumberFormat="1" applyFont="1" applyAlignment="1">
      <alignment horizontal="center" vertical="top"/>
    </xf>
    <xf numFmtId="49" fontId="22" fillId="0" borderId="0" xfId="0" applyNumberFormat="1" applyFont="1" applyAlignment="1">
      <alignment horizontal="center" vertical="center"/>
    </xf>
    <xf numFmtId="0" fontId="0" fillId="0" borderId="0" xfId="0" applyNumberFormat="1" applyFont="1" applyAlignment="1">
      <alignment horizontal="left" vertical="center"/>
    </xf>
    <xf numFmtId="0" fontId="41"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0" fillId="13" borderId="22" xfId="0" applyNumberFormat="1" applyFont="1" applyFill="1" applyBorder="1" applyAlignment="1">
      <alignment horizontal="left" vertical="center"/>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0" fillId="13" borderId="22" xfId="0" applyNumberFormat="1" applyFont="1" applyFill="1" applyBorder="1" applyAlignment="1">
      <alignment horizontal="center" vertical="center" wrapText="1"/>
    </xf>
    <xf numFmtId="0" fontId="97" fillId="0" borderId="0" xfId="0" applyNumberFormat="1" applyFont="1" applyAlignment="1">
      <alignment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49" fontId="6" fillId="16" borderId="5" xfId="0" applyNumberFormat="1" applyFont="1" applyFill="1" applyBorder="1" applyAlignment="1">
      <alignment horizontal="center" vertical="center" wrapText="1"/>
    </xf>
    <xf numFmtId="49" fontId="37"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0" borderId="5" xfId="0" applyNumberFormat="1" applyFont="1" applyFill="1" applyBorder="1" applyAlignment="1">
      <alignment horizontal="center" vertical="center" wrapText="1"/>
    </xf>
    <xf numFmtId="0" fontId="37" fillId="0" borderId="0" xfId="0" applyNumberFormat="1" applyFont="1" applyAlignment="1">
      <alignment horizontal="center" vertical="center"/>
    </xf>
    <xf numFmtId="0" fontId="6" fillId="10"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49" fontId="6" fillId="10" borderId="5" xfId="0" applyNumberFormat="1" applyFont="1" applyFill="1" applyBorder="1" applyAlignment="1">
      <alignment horizontal="center" vertical="center" wrapText="1"/>
    </xf>
    <xf numFmtId="0" fontId="37" fillId="10" borderId="0" xfId="0" applyNumberFormat="1" applyFont="1" applyFill="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1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0" borderId="5"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0" fontId="67" fillId="10" borderId="12"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49" fontId="37" fillId="0" borderId="5" xfId="0" applyNumberFormat="1" applyFont="1" applyBorder="1" applyAlignment="1">
      <alignment horizontal="center" vertical="center" wrapText="1"/>
    </xf>
    <xf numFmtId="49" fontId="6" fillId="10" borderId="5"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49" fontId="6" fillId="16" borderId="5"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indent="1"/>
      <protection locked="0"/>
    </xf>
    <xf numFmtId="0" fontId="6" fillId="10" borderId="5" xfId="0" applyNumberFormat="1" applyFont="1" applyFill="1" applyBorder="1" applyAlignment="1">
      <alignment horizontal="left" vertical="center" wrapText="1"/>
    </xf>
    <xf numFmtId="0" fontId="37" fillId="0" borderId="0" xfId="0" applyNumberFormat="1" applyFont="1" applyAlignment="1">
      <alignment horizontal="center" vertical="center"/>
    </xf>
    <xf numFmtId="0" fontId="27" fillId="0" borderId="0" xfId="0" applyNumberFormat="1" applyFont="1" applyAlignment="1">
      <alignment horizontal="center" vertical="center" wrapText="1"/>
    </xf>
    <xf numFmtId="167" fontId="6" fillId="13" borderId="8" xfId="0" applyNumberFormat="1" applyFont="1" applyFill="1" applyBorder="1" applyAlignment="1">
      <alignment horizontal="right" vertical="center" wrapText="1"/>
    </xf>
    <xf numFmtId="0" fontId="98" fillId="0" borderId="0" xfId="0" applyNumberFormat="1" applyFont="1" applyAlignment="1">
      <alignment vertical="center" wrapText="1"/>
    </xf>
    <xf numFmtId="0" fontId="98" fillId="10" borderId="0" xfId="0" applyNumberFormat="1" applyFont="1" applyFill="1" applyAlignment="1">
      <alignment horizontal="center" vertical="center" wrapText="1"/>
    </xf>
    <xf numFmtId="0" fontId="37" fillId="10" borderId="5" xfId="0" applyNumberFormat="1" applyFont="1" applyFill="1" applyBorder="1" applyAlignment="1">
      <alignment horizontal="left" vertical="center" wrapText="1" indent="3"/>
    </xf>
    <xf numFmtId="49" fontId="30" fillId="13" borderId="20" xfId="0" applyNumberFormat="1" applyFont="1" applyFill="1" applyBorder="1" applyAlignment="1">
      <alignment horizontal="left" vertical="center"/>
    </xf>
    <xf numFmtId="0" fontId="98" fillId="0" borderId="0" xfId="0" applyNumberFormat="1" applyFont="1" applyAlignment="1">
      <alignment horizontal="center" vertical="center" wrapText="1"/>
    </xf>
    <xf numFmtId="49" fontId="3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4"/>
    </xf>
    <xf numFmtId="0" fontId="37" fillId="0" borderId="0" xfId="0" applyNumberFormat="1" applyFont="1" applyAlignment="1">
      <alignment horizontal="left" vertical="center" wrapText="1" indent="1"/>
    </xf>
    <xf numFmtId="49" fontId="6" fillId="13" borderId="7" xfId="0" applyNumberFormat="1" applyFont="1" applyFill="1" applyBorder="1" applyAlignment="1">
      <alignment horizontal="center" vertical="center" wrapText="1"/>
    </xf>
    <xf numFmtId="0" fontId="37" fillId="0" borderId="17" xfId="0" applyNumberFormat="1" applyFont="1" applyBorder="1" applyAlignment="1">
      <alignment horizontal="left" vertical="center" wrapText="1" indent="1"/>
    </xf>
    <xf numFmtId="0" fontId="36" fillId="0" borderId="0" xfId="0" applyNumberFormat="1" applyFont="1" applyAlignment="1">
      <alignment horizontal="left" vertical="center"/>
    </xf>
    <xf numFmtId="49" fontId="36" fillId="0" borderId="0" xfId="0" applyNumberFormat="1" applyFont="1" applyAlignment="1">
      <alignment horizontal="left" vertical="center"/>
    </xf>
    <xf numFmtId="0" fontId="36" fillId="0" borderId="0" xfId="0" applyNumberFormat="1" applyFont="1" applyAlignment="1">
      <alignment horizontal="left" vertical="center"/>
    </xf>
    <xf numFmtId="0" fontId="56" fillId="0" borderId="0" xfId="0" applyNumberFormat="1" applyFont="1" applyAlignment="1">
      <alignment horizontal="left" vertical="center"/>
    </xf>
    <xf numFmtId="0" fontId="37"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12" xfId="0" applyNumberFormat="1" applyFont="1" applyBorder="1" applyAlignment="1">
      <alignment horizontal="left" vertical="center" wrapText="1"/>
    </xf>
    <xf numFmtId="0" fontId="27" fillId="0" borderId="0" xfId="0" applyNumberFormat="1" applyFont="1" applyAlignment="1">
      <alignment horizontal="center" vertical="center" wrapText="1"/>
    </xf>
    <xf numFmtId="0" fontId="27" fillId="10" borderId="0" xfId="0" applyNumberFormat="1" applyFont="1" applyFill="1" applyAlignment="1">
      <alignment horizontal="center" vertical="center" wrapText="1"/>
    </xf>
    <xf numFmtId="49" fontId="36" fillId="0" borderId="0" xfId="0" applyNumberFormat="1" applyFont="1" applyAlignment="1">
      <alignment horizontal="left" vertical="center"/>
    </xf>
    <xf numFmtId="49" fontId="36" fillId="0" borderId="0" xfId="0" applyNumberFormat="1" applyFont="1" applyAlignment="1">
      <alignment horizontal="left" vertical="center"/>
    </xf>
    <xf numFmtId="49" fontId="36" fillId="0" borderId="0" xfId="0" applyNumberFormat="1" applyFont="1" applyAlignment="1">
      <alignment horizontal="left" vertical="top"/>
    </xf>
    <xf numFmtId="49" fontId="6" fillId="10" borderId="5" xfId="0" applyNumberFormat="1" applyFont="1" applyFill="1" applyBorder="1" applyAlignment="1">
      <alignment horizontal="center" vertical="center"/>
    </xf>
    <xf numFmtId="0" fontId="6" fillId="0" borderId="5"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1"/>
    </xf>
    <xf numFmtId="49" fontId="6" fillId="0" borderId="5" xfId="0" applyNumberFormat="1" applyFont="1" applyBorder="1" applyAlignment="1">
      <alignment horizontal="center" vertical="center"/>
    </xf>
    <xf numFmtId="0" fontId="6" fillId="0" borderId="5" xfId="0" applyNumberFormat="1" applyFont="1" applyBorder="1" applyAlignment="1">
      <alignment horizontal="left" vertical="center" wrapText="1" indent="1"/>
    </xf>
    <xf numFmtId="0" fontId="6" fillId="0" borderId="5" xfId="0" applyNumberFormat="1" applyFont="1" applyBorder="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6" fillId="10" borderId="5" xfId="0" applyNumberFormat="1" applyFont="1" applyFill="1" applyBorder="1" applyAlignment="1">
      <alignment horizontal="left" vertical="center" wrapText="1"/>
    </xf>
    <xf numFmtId="0" fontId="37" fillId="10" borderId="5" xfId="0" applyNumberFormat="1" applyFont="1" applyFill="1" applyBorder="1" applyAlignment="1">
      <alignment horizontal="center" vertical="center"/>
    </xf>
    <xf numFmtId="0" fontId="59" fillId="10" borderId="0" xfId="0" applyNumberFormat="1" applyFont="1" applyFill="1" applyAlignment="1">
      <alignment vertical="center" wrapText="1"/>
    </xf>
    <xf numFmtId="49" fontId="6" fillId="12" borderId="5" xfId="0" applyNumberFormat="1" applyFont="1" applyFill="1" applyBorder="1" applyAlignment="1" applyProtection="1">
      <alignment horizontal="left" vertical="center" wrapText="1"/>
      <protection locked="0"/>
    </xf>
    <xf numFmtId="0" fontId="71" fillId="10" borderId="0" xfId="0" applyNumberFormat="1" applyFont="1" applyFill="1" applyAlignment="1"/>
    <xf numFmtId="0" fontId="55" fillId="10" borderId="0" xfId="0" applyNumberFormat="1" applyFont="1" applyFill="1" applyAlignment="1"/>
    <xf numFmtId="14" fontId="6" fillId="15" borderId="16" xfId="0" applyNumberFormat="1" applyFont="1" applyFill="1" applyBorder="1" applyAlignment="1" applyProtection="1">
      <alignment horizontal="left" vertical="center" wrapText="1" indent="1"/>
      <protection locked="0"/>
    </xf>
    <xf numFmtId="0" fontId="99" fillId="0" borderId="0" xfId="0" applyNumberFormat="1" applyFont="1" applyAlignment="1">
      <alignment vertical="center"/>
    </xf>
    <xf numFmtId="0" fontId="99" fillId="0" borderId="0" xfId="0" applyNumberFormat="1" applyFont="1" applyAlignment="1">
      <alignment vertical="center" wrapText="1"/>
    </xf>
    <xf numFmtId="168" fontId="6" fillId="0" borderId="16" xfId="0" applyNumberFormat="1" applyFont="1" applyBorder="1" applyAlignment="1">
      <alignment horizontal="center" vertical="center" wrapText="1"/>
    </xf>
    <xf numFmtId="14" fontId="6" fillId="15" borderId="5" xfId="0" applyNumberFormat="1" applyFont="1" applyFill="1" applyBorder="1" applyAlignment="1" applyProtection="1">
      <alignment horizontal="left" vertical="center" wrapText="1" indent="1"/>
      <protection locked="0"/>
    </xf>
    <xf numFmtId="0" fontId="6" fillId="11" borderId="16" xfId="0" applyNumberFormat="1" applyFont="1" applyFill="1" applyBorder="1" applyAlignment="1">
      <alignment horizontal="left" vertical="center" wrapText="1" indent="1"/>
    </xf>
    <xf numFmtId="168" fontId="6" fillId="0" borderId="10" xfId="0" applyNumberFormat="1" applyFont="1" applyBorder="1" applyAlignment="1">
      <alignment horizontal="center" vertical="center" wrapText="1"/>
    </xf>
    <xf numFmtId="49" fontId="18" fillId="13" borderId="23"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16" fillId="13" borderId="20" xfId="0" applyNumberFormat="1" applyFont="1" applyFill="1" applyBorder="1" applyAlignment="1">
      <alignment horizontal="left" vertical="center" wrapText="1"/>
    </xf>
    <xf numFmtId="0" fontId="37" fillId="0" borderId="20" xfId="0" applyNumberFormat="1" applyFont="1" applyBorder="1" applyAlignment="1">
      <alignment horizontal="center" vertical="center" wrapText="1"/>
    </xf>
    <xf numFmtId="0" fontId="37" fillId="0" borderId="0" xfId="0" applyNumberFormat="1" applyFont="1" applyAlignment="1">
      <alignment horizontal="center" vertical="center"/>
    </xf>
    <xf numFmtId="14" fontId="6" fillId="16" borderId="5" xfId="0" applyNumberFormat="1" applyFont="1" applyFill="1" applyBorder="1" applyAlignment="1">
      <alignment horizontal="left" vertical="center" wrapText="1"/>
    </xf>
    <xf numFmtId="168" fontId="6" fillId="0" borderId="30"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36" fillId="10" borderId="0" xfId="0" applyNumberFormat="1" applyFont="1" applyFill="1" applyAlignment="1"/>
    <xf numFmtId="0" fontId="6" fillId="0" borderId="8" xfId="0" applyNumberFormat="1" applyFont="1" applyBorder="1" applyAlignment="1">
      <alignment horizontal="right" vertical="center" wrapText="1" indent="1"/>
    </xf>
    <xf numFmtId="0" fontId="6" fillId="11" borderId="7" xfId="0" applyNumberFormat="1" applyFont="1" applyFill="1" applyBorder="1" applyAlignment="1">
      <alignment horizontal="left" vertical="top" wrapText="1"/>
    </xf>
    <xf numFmtId="49" fontId="37" fillId="0" borderId="0" xfId="0" applyNumberFormat="1" applyFont="1" applyAlignment="1">
      <alignment horizontal="center" vertical="center"/>
    </xf>
    <xf numFmtId="0" fontId="32" fillId="0" borderId="0" xfId="0" applyNumberFormat="1" applyFont="1" applyAlignment="1">
      <alignment vertical="center"/>
    </xf>
    <xf numFmtId="0" fontId="6" fillId="0" borderId="29" xfId="0" applyNumberFormat="1" applyFont="1" applyBorder="1" applyAlignment="1">
      <alignment horizontal="center" vertical="center" wrapText="1"/>
    </xf>
    <xf numFmtId="0" fontId="6" fillId="0" borderId="30"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6" fillId="0" borderId="29" xfId="0" applyNumberFormat="1" applyFont="1" applyBorder="1" applyAlignment="1">
      <alignment horizontal="left" vertical="center" wrapText="1"/>
    </xf>
    <xf numFmtId="49" fontId="6" fillId="0" borderId="29"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0" fontId="6" fillId="0" borderId="29" xfId="0" applyNumberFormat="1" applyFont="1" applyBorder="1" applyAlignment="1">
      <alignment horizontal="left" vertical="center" wrapText="1"/>
    </xf>
    <xf numFmtId="49" fontId="6" fillId="0" borderId="29" xfId="0" applyNumberFormat="1" applyFont="1" applyBorder="1" applyAlignment="1">
      <alignment vertical="center" wrapText="1"/>
    </xf>
    <xf numFmtId="0" fontId="6" fillId="0" borderId="16" xfId="0" applyNumberFormat="1" applyFont="1" applyBorder="1" applyAlignment="1">
      <alignment horizontal="left" vertical="center" wrapText="1"/>
    </xf>
    <xf numFmtId="0" fontId="30" fillId="0" borderId="16" xfId="0" applyNumberFormat="1" applyFont="1" applyBorder="1" applyAlignment="1">
      <alignment horizontal="left" vertical="center"/>
    </xf>
    <xf numFmtId="0" fontId="30" fillId="13" borderId="7" xfId="0" applyNumberFormat="1" applyFont="1" applyFill="1" applyBorder="1" applyAlignment="1">
      <alignment horizontal="left" vertical="center"/>
    </xf>
    <xf numFmtId="0" fontId="30" fillId="0" borderId="29" xfId="0" applyNumberFormat="1" applyFont="1" applyBorder="1" applyAlignment="1">
      <alignment horizontal="left" vertical="center"/>
    </xf>
    <xf numFmtId="0" fontId="30" fillId="13" borderId="30" xfId="0" applyNumberFormat="1" applyFont="1" applyFill="1" applyBorder="1" applyAlignment="1">
      <alignment horizontal="left" vertical="center"/>
    </xf>
    <xf numFmtId="49" fontId="54" fillId="13" borderId="7" xfId="0" applyNumberFormat="1" applyFont="1" applyFill="1" applyBorder="1">
      <alignment vertical="top"/>
    </xf>
    <xf numFmtId="49" fontId="54" fillId="13" borderId="8" xfId="0" applyNumberFormat="1" applyFont="1" applyFill="1" applyBorder="1">
      <alignment vertical="top"/>
    </xf>
    <xf numFmtId="49" fontId="6" fillId="16" borderId="10" xfId="0" applyNumberFormat="1" applyFont="1" applyFill="1" applyBorder="1" applyAlignment="1">
      <alignment vertical="center" wrapText="1"/>
    </xf>
    <xf numFmtId="0" fontId="6" fillId="0" borderId="30" xfId="0" applyNumberFormat="1" applyFont="1" applyBorder="1" applyAlignment="1">
      <alignment horizontal="center" vertical="center" wrapText="1"/>
    </xf>
    <xf numFmtId="49" fontId="0" fillId="0" borderId="0" xfId="0" applyNumberFormat="1" applyFont="1">
      <alignment vertical="top"/>
    </xf>
    <xf numFmtId="49" fontId="36" fillId="0" borderId="0" xfId="0" applyNumberFormat="1" applyFont="1" applyAlignment="1">
      <alignment horizontal="center" vertical="center"/>
    </xf>
    <xf numFmtId="0" fontId="100" fillId="0" borderId="0" xfId="0" applyNumberFormat="1" applyFont="1" applyAlignment="1">
      <alignment vertical="center" wrapText="1"/>
    </xf>
    <xf numFmtId="0" fontId="101" fillId="0" borderId="0" xfId="0" applyNumberFormat="1" applyFont="1" applyAlignment="1">
      <alignment vertical="center" wrapText="1"/>
    </xf>
    <xf numFmtId="0" fontId="6" fillId="0" borderId="10" xfId="0" applyNumberFormat="1" applyFont="1" applyBorder="1" applyAlignment="1">
      <alignment horizontal="center"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0"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2" xfId="0" applyNumberFormat="1" applyFont="1" applyBorder="1" applyAlignment="1">
      <alignment vertical="center" wrapText="1"/>
    </xf>
    <xf numFmtId="49" fontId="6" fillId="0" borderId="12" xfId="0" applyNumberFormat="1" applyFont="1" applyBorder="1" applyAlignment="1">
      <alignment horizontal="left" vertical="center" wrapText="1"/>
    </xf>
    <xf numFmtId="49" fontId="27" fillId="0" borderId="12" xfId="0" applyNumberFormat="1" applyFont="1" applyBorder="1" applyAlignment="1">
      <alignment vertical="center" wrapText="1"/>
    </xf>
    <xf numFmtId="49" fontId="6" fillId="0" borderId="12" xfId="0" applyNumberFormat="1" applyFont="1" applyBorder="1" applyAlignment="1">
      <alignment horizontal="center" vertical="center" wrapText="1"/>
    </xf>
    <xf numFmtId="0" fontId="6" fillId="0" borderId="12" xfId="0" applyNumberFormat="1" applyFont="1" applyBorder="1" applyAlignment="1">
      <alignment horizontal="left" vertical="center" wrapText="1"/>
    </xf>
    <xf numFmtId="49" fontId="6" fillId="0" borderId="12"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7"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30" fillId="0" borderId="0" xfId="0" applyNumberFormat="1" applyFont="1" applyAlignment="1">
      <alignment horizontal="left" vertical="center"/>
    </xf>
    <xf numFmtId="49" fontId="27" fillId="0" borderId="0" xfId="0" applyNumberFormat="1" applyFont="1" applyAlignment="1">
      <alignment horizontal="center" vertical="center" wrapText="1"/>
    </xf>
    <xf numFmtId="0" fontId="30" fillId="0" borderId="0" xfId="0" applyNumberFormat="1" applyFont="1" applyAlignment="1">
      <alignment vertical="center"/>
    </xf>
    <xf numFmtId="49" fontId="54" fillId="0" borderId="23" xfId="0" applyNumberFormat="1" applyFont="1" applyBorder="1">
      <alignment vertical="top"/>
    </xf>
    <xf numFmtId="49" fontId="6" fillId="0" borderId="30" xfId="0" applyNumberFormat="1" applyFont="1" applyBorder="1" applyAlignment="1">
      <alignment vertical="center" wrapText="1"/>
    </xf>
    <xf numFmtId="49" fontId="6" fillId="0" borderId="15" xfId="0" applyNumberFormat="1" applyFont="1" applyBorder="1" applyAlignment="1">
      <alignment vertical="center" wrapText="1"/>
    </xf>
    <xf numFmtId="0" fontId="30" fillId="0" borderId="15" xfId="0" applyNumberFormat="1" applyFont="1" applyBorder="1" applyAlignment="1">
      <alignment horizontal="left" vertical="center"/>
    </xf>
    <xf numFmtId="49" fontId="54" fillId="0" borderId="20" xfId="0" applyNumberFormat="1" applyFont="1" applyBorder="1">
      <alignment vertical="top"/>
    </xf>
    <xf numFmtId="49" fontId="6" fillId="0" borderId="29" xfId="0" applyNumberFormat="1" applyFont="1" applyBorder="1" applyAlignment="1">
      <alignment horizontal="center" vertical="center" wrapText="1"/>
    </xf>
    <xf numFmtId="0" fontId="30" fillId="13" borderId="30" xfId="0" applyNumberFormat="1" applyFont="1" applyFill="1" applyBorder="1" applyAlignment="1">
      <alignment vertical="center"/>
    </xf>
    <xf numFmtId="49" fontId="0" fillId="0" borderId="5"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5" fillId="0" borderId="0" xfId="0" applyNumberFormat="1" applyFont="1" applyAlignment="1">
      <alignment vertical="center" wrapText="1"/>
    </xf>
    <xf numFmtId="0" fontId="37" fillId="0" borderId="0" xfId="0" applyNumberFormat="1" applyFont="1" applyAlignment="1">
      <alignment vertical="center" wrapText="1"/>
    </xf>
    <xf numFmtId="0" fontId="51" fillId="0" borderId="0" xfId="0" applyNumberFormat="1" applyFont="1" applyAlignment="1">
      <alignment vertical="center" wrapText="1"/>
    </xf>
    <xf numFmtId="49" fontId="6" fillId="0" borderId="5" xfId="0" applyNumberFormat="1" applyFont="1" applyBorder="1" applyAlignment="1">
      <alignment horizontal="center" vertical="center" wrapText="1"/>
    </xf>
    <xf numFmtId="0" fontId="27" fillId="10" borderId="5" xfId="0" applyNumberFormat="1" applyFont="1" applyFill="1" applyBorder="1" applyAlignment="1">
      <alignment horizontal="center" vertical="center" wrapText="1"/>
    </xf>
    <xf numFmtId="0" fontId="27" fillId="10" borderId="0" xfId="0" applyNumberFormat="1" applyFont="1" applyFill="1" applyAlignment="1">
      <alignment horizontal="center" vertical="center" wrapText="1"/>
    </xf>
    <xf numFmtId="49" fontId="6" fillId="0" borderId="5" xfId="0" applyNumberFormat="1" applyFont="1" applyBorder="1" applyAlignment="1">
      <alignment horizontal="center" vertical="center" wrapText="1"/>
    </xf>
    <xf numFmtId="3" fontId="6" fillId="15" borderId="5" xfId="0" applyNumberFormat="1" applyFont="1" applyFill="1" applyBorder="1" applyAlignment="1" applyProtection="1">
      <alignment horizontal="right" vertical="center" wrapText="1"/>
      <protection locked="0"/>
    </xf>
    <xf numFmtId="0" fontId="37" fillId="0" borderId="0" xfId="0" applyNumberFormat="1" applyFont="1" applyAlignment="1">
      <alignment vertical="center" wrapText="1"/>
    </xf>
    <xf numFmtId="49" fontId="6" fillId="15" borderId="5" xfId="0" applyNumberFormat="1" applyFont="1" applyFill="1" applyBorder="1" applyAlignment="1" applyProtection="1">
      <alignment horizontal="left" vertical="center" wrapText="1"/>
      <protection locked="0"/>
    </xf>
    <xf numFmtId="0" fontId="37" fillId="0" borderId="0" xfId="0" applyNumberFormat="1" applyFont="1" applyAlignment="1">
      <alignment vertical="center"/>
    </xf>
    <xf numFmtId="0" fontId="27" fillId="10" borderId="5" xfId="0" applyNumberFormat="1" applyFont="1" applyFill="1" applyBorder="1" applyAlignment="1">
      <alignment horizontal="center" vertical="center" wrapText="1"/>
    </xf>
    <xf numFmtId="0" fontId="36" fillId="0" borderId="15" xfId="0" applyNumberFormat="1" applyFont="1" applyBorder="1" applyAlignment="1">
      <alignment vertical="center"/>
    </xf>
    <xf numFmtId="0" fontId="36" fillId="0" borderId="15" xfId="0" applyNumberFormat="1" applyFont="1" applyBorder="1" applyAlignment="1">
      <alignment vertical="center"/>
    </xf>
    <xf numFmtId="0" fontId="6" fillId="0" borderId="10" xfId="0" applyNumberFormat="1" applyFont="1" applyBorder="1" applyAlignment="1">
      <alignment horizontal="left" vertical="center" wrapText="1" indent="1"/>
    </xf>
    <xf numFmtId="49" fontId="6" fillId="0" borderId="51"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0" fontId="41" fillId="0" borderId="0" xfId="0" applyNumberFormat="1" applyFont="1" applyAlignment="1">
      <alignment vertical="center"/>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xf>
    <xf numFmtId="0" fontId="6" fillId="0" borderId="5" xfId="0" applyNumberFormat="1" applyFont="1" applyBorder="1" applyAlignment="1">
      <alignment horizontal="left" vertical="center" wrapText="1" indent="2"/>
    </xf>
    <xf numFmtId="0" fontId="37" fillId="0" borderId="10"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11" borderId="7" xfId="0" applyNumberFormat="1" applyFont="1" applyFill="1" applyBorder="1" applyAlignment="1">
      <alignment horizontal="left" vertical="top" wrapText="1"/>
    </xf>
    <xf numFmtId="0" fontId="6" fillId="0" borderId="5" xfId="0" applyNumberFormat="1" applyFont="1" applyBorder="1" applyAlignment="1">
      <alignment horizontal="center" vertical="center" wrapText="1"/>
    </xf>
    <xf numFmtId="49" fontId="0" fillId="0" borderId="5" xfId="0" applyNumberFormat="1" applyFont="1" applyBorder="1" applyAlignment="1">
      <alignment vertical="center" wrapText="1"/>
    </xf>
    <xf numFmtId="0" fontId="37" fillId="0" borderId="7" xfId="0" applyNumberFormat="1" applyFont="1" applyBorder="1" applyAlignment="1">
      <alignment vertical="center" wrapText="1"/>
    </xf>
    <xf numFmtId="0" fontId="37" fillId="0" borderId="7" xfId="0" applyNumberFormat="1" applyFont="1" applyBorder="1" applyAlignment="1">
      <alignment horizontal="left" vertical="top" wrapText="1"/>
    </xf>
    <xf numFmtId="49" fontId="6" fillId="0" borderId="52" xfId="0" applyNumberFormat="1" applyFont="1" applyBorder="1" applyAlignment="1">
      <alignment horizontal="center" vertical="center" wrapText="1"/>
    </xf>
    <xf numFmtId="0" fontId="6" fillId="0" borderId="10" xfId="0" applyNumberFormat="1" applyFont="1" applyBorder="1" applyAlignment="1">
      <alignment horizontal="left" vertical="center" wrapText="1"/>
    </xf>
    <xf numFmtId="49" fontId="30" fillId="13" borderId="12" xfId="0" applyNumberFormat="1" applyFont="1" applyFill="1" applyBorder="1" applyAlignment="1">
      <alignment horizontal="left" vertical="center" indent="2"/>
    </xf>
    <xf numFmtId="49" fontId="0" fillId="0" borderId="5" xfId="0" applyNumberFormat="1" applyFont="1" applyBorder="1" applyAlignment="1">
      <alignment horizontal="left" vertical="center" wrapText="1" indent="1"/>
    </xf>
    <xf numFmtId="49" fontId="0" fillId="0" borderId="5"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0" borderId="5" xfId="0" applyNumberFormat="1" applyFont="1" applyBorder="1" applyAlignment="1">
      <alignment horizontal="left" vertical="center" wrapText="1" indent="1"/>
    </xf>
    <xf numFmtId="49" fontId="0" fillId="10" borderId="5" xfId="0" applyNumberFormat="1" applyFont="1" applyFill="1" applyBorder="1" applyAlignment="1">
      <alignment horizontal="center" vertical="center" wrapText="1"/>
    </xf>
    <xf numFmtId="49" fontId="6" fillId="16" borderId="5" xfId="0" applyNumberFormat="1" applyFont="1" applyFill="1" applyBorder="1" applyAlignment="1">
      <alignment horizontal="left" vertical="center" wrapText="1"/>
    </xf>
    <xf numFmtId="49" fontId="6" fillId="0" borderId="53" xfId="0" applyNumberFormat="1" applyFont="1" applyBorder="1" applyAlignment="1">
      <alignment horizontal="center" vertical="center" wrapText="1"/>
    </xf>
    <xf numFmtId="4" fontId="6" fillId="15" borderId="10" xfId="0" applyNumberFormat="1" applyFont="1" applyFill="1" applyBorder="1" applyAlignment="1" applyProtection="1">
      <alignment horizontal="right" vertical="center" wrapText="1"/>
      <protection locked="0"/>
    </xf>
    <xf numFmtId="49" fontId="30" fillId="0" borderId="12" xfId="0" applyNumberFormat="1" applyFont="1" applyBorder="1" applyAlignment="1">
      <alignment horizontal="left" vertical="center"/>
    </xf>
    <xf numFmtId="49" fontId="30" fillId="0" borderId="12" xfId="0" applyNumberFormat="1" applyFont="1" applyBorder="1" applyAlignment="1">
      <alignment horizontal="left" vertical="center" indent="2"/>
    </xf>
    <xf numFmtId="49" fontId="34" fillId="0" borderId="12" xfId="0" applyNumberFormat="1" applyFont="1" applyBorder="1" applyAlignment="1">
      <alignment horizontal="center" vertical="top"/>
    </xf>
    <xf numFmtId="0" fontId="6" fillId="0" borderId="12"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5" borderId="5" xfId="0" applyNumberFormat="1" applyFont="1" applyFill="1" applyBorder="1" applyAlignment="1" applyProtection="1">
      <alignment horizontal="left" vertical="center" wrapText="1" indent="1"/>
      <protection locked="0"/>
    </xf>
    <xf numFmtId="49" fontId="36" fillId="0" borderId="0" xfId="0" applyNumberFormat="1" applyFont="1">
      <alignment vertical="top"/>
    </xf>
    <xf numFmtId="49"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7" fillId="10" borderId="0" xfId="0" applyNumberFormat="1" applyFont="1" applyFill="1" applyAlignment="1">
      <alignment horizontal="center" vertical="center" wrapText="1"/>
    </xf>
    <xf numFmtId="0" fontId="0" fillId="10" borderId="16"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2" fillId="22" borderId="0" xfId="0" applyNumberFormat="1" applyFont="1" applyFill="1" applyAlignment="1">
      <alignment horizontal="center" vertical="center"/>
    </xf>
    <xf numFmtId="0" fontId="0" fillId="23" borderId="0" xfId="0" applyNumberFormat="1" applyFont="1" applyFill="1" applyAlignment="1">
      <alignment horizontal="left" vertical="center"/>
    </xf>
    <xf numFmtId="49" fontId="0" fillId="0" borderId="0" xfId="0" applyNumberFormat="1" applyFont="1" applyAlignment="1">
      <alignment vertical="center"/>
    </xf>
    <xf numFmtId="0" fontId="0" fillId="23" borderId="0" xfId="0" applyNumberFormat="1" applyFont="1" applyFill="1" applyAlignment="1">
      <alignment horizontal="right" vertical="center"/>
    </xf>
    <xf numFmtId="0" fontId="41" fillId="23" borderId="0" xfId="0" applyNumberFormat="1" applyFont="1" applyFill="1" applyAlignment="1">
      <alignment horizontal="left" vertical="center"/>
    </xf>
    <xf numFmtId="0" fontId="0" fillId="0" borderId="0" xfId="0" applyNumberFormat="1" applyFont="1" applyAlignment="1">
      <alignment horizontal="right" vertical="top"/>
    </xf>
    <xf numFmtId="0" fontId="0" fillId="23" borderId="3" xfId="0" applyNumberFormat="1" applyFont="1" applyFill="1" applyBorder="1" applyAlignment="1">
      <alignment horizontal="center"/>
    </xf>
    <xf numFmtId="0" fontId="0" fillId="0" borderId="3" xfId="0" applyNumberFormat="1" applyFont="1" applyBorder="1" applyAlignment="1">
      <alignment horizontal="center"/>
    </xf>
    <xf numFmtId="0" fontId="102" fillId="0" borderId="0" xfId="0" applyNumberFormat="1" applyFont="1" applyAlignment="1">
      <alignment wrapText="1"/>
    </xf>
    <xf numFmtId="49" fontId="53" fillId="0" borderId="0" xfId="0" applyNumberFormat="1" applyFont="1" applyAlignment="1">
      <alignment wrapText="1"/>
    </xf>
    <xf numFmtId="49" fontId="53" fillId="0" borderId="0" xfId="0" applyNumberFormat="1" applyFont="1" applyAlignment="1">
      <alignment vertical="center" wrapText="1"/>
    </xf>
    <xf numFmtId="49" fontId="103" fillId="0" borderId="0" xfId="0" applyNumberFormat="1" applyFont="1" applyAlignment="1">
      <alignment wrapText="1"/>
    </xf>
    <xf numFmtId="0" fontId="89" fillId="0" borderId="0" xfId="0" applyNumberFormat="1" applyFont="1" applyAlignment="1">
      <alignment horizontal="left" vertical="center" wrapText="1"/>
    </xf>
    <xf numFmtId="49" fontId="104"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3" fillId="0" borderId="0" xfId="0" applyNumberFormat="1" applyFont="1" applyAlignment="1">
      <alignment wrapText="1"/>
    </xf>
    <xf numFmtId="0" fontId="105" fillId="0" borderId="0" xfId="0" applyNumberFormat="1" applyFont="1" applyAlignment="1">
      <alignment horizontal="left" vertical="center" wrapText="1"/>
    </xf>
    <xf numFmtId="0" fontId="106" fillId="0" borderId="0" xfId="0" applyNumberFormat="1" applyFont="1" applyAlignment="1">
      <alignment vertical="center" wrapText="1"/>
    </xf>
    <xf numFmtId="0" fontId="53" fillId="0" borderId="31" xfId="0" applyNumberFormat="1" applyFont="1" applyBorder="1" applyAlignment="1">
      <alignment wrapText="1"/>
    </xf>
    <xf numFmtId="0" fontId="53" fillId="0" borderId="0" xfId="0" applyNumberFormat="1" applyFont="1" applyAlignment="1"/>
    <xf numFmtId="0" fontId="105" fillId="0" borderId="0" xfId="0" applyNumberFormat="1" applyFont="1" applyAlignment="1"/>
    <xf numFmtId="0" fontId="107" fillId="0" borderId="0" xfId="0" applyNumberFormat="1" applyFont="1" applyAlignment="1">
      <alignment wrapText="1"/>
    </xf>
    <xf numFmtId="0" fontId="0" fillId="12" borderId="54" xfId="0" applyNumberFormat="1" applyFont="1" applyFill="1" applyBorder="1" applyAlignment="1">
      <alignment horizontal="center" vertical="center" wrapText="1"/>
    </xf>
    <xf numFmtId="0" fontId="0" fillId="28"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5" borderId="54" xfId="0" applyNumberFormat="1" applyFont="1" applyFill="1" applyBorder="1" applyAlignment="1">
      <alignment horizontal="center" vertical="center" wrapText="1"/>
    </xf>
    <xf numFmtId="0" fontId="105" fillId="0" borderId="31" xfId="0" applyNumberFormat="1" applyFont="1" applyBorder="1" applyAlignment="1">
      <alignment horizontal="left" vertical="center" wrapText="1"/>
    </xf>
    <xf numFmtId="0" fontId="105" fillId="0" borderId="55" xfId="0" applyNumberFormat="1" applyFont="1" applyBorder="1" applyAlignment="1">
      <alignment horizontal="left" vertical="center" wrapText="1"/>
    </xf>
    <xf numFmtId="0" fontId="107" fillId="0" borderId="0" xfId="0" applyNumberFormat="1" applyFont="1" applyAlignment="1"/>
    <xf numFmtId="0" fontId="107" fillId="0" borderId="31" xfId="0" applyNumberFormat="1" applyFont="1" applyBorder="1" applyAlignment="1">
      <alignment wrapText="1"/>
    </xf>
    <xf numFmtId="0" fontId="53" fillId="0" borderId="56" xfId="0" applyNumberFormat="1" applyFont="1" applyBorder="1" applyAlignment="1">
      <alignment wrapText="1"/>
    </xf>
    <xf numFmtId="0" fontId="53" fillId="0" borderId="32" xfId="0" applyNumberFormat="1" applyFont="1" applyBorder="1" applyAlignment="1">
      <alignment wrapText="1"/>
    </xf>
    <xf numFmtId="0" fontId="53" fillId="0" borderId="32" xfId="0" applyNumberFormat="1" applyFont="1" applyBorder="1" applyAlignment="1">
      <alignment vertical="center" wrapText="1"/>
    </xf>
    <xf numFmtId="0" fontId="103" fillId="0" borderId="0" xfId="0" applyNumberFormat="1" applyFont="1" applyAlignment="1"/>
    <xf numFmtId="0" fontId="26" fillId="0" borderId="1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108" fillId="0" borderId="0" xfId="0" applyNumberFormat="1" applyFont="1" applyAlignment="1">
      <alignment horizontal="center" vertical="center" wrapText="1"/>
    </xf>
    <xf numFmtId="49" fontId="6" fillId="23" borderId="0" xfId="0" applyNumberFormat="1" applyFont="1" applyFill="1" applyAlignment="1">
      <alignment horizontal="center" vertical="center"/>
    </xf>
    <xf numFmtId="170" fontId="0" fillId="15" borderId="5" xfId="0" applyNumberFormat="1" applyFont="1" applyFill="1" applyBorder="1" applyAlignment="1" applyProtection="1">
      <alignment horizontal="left" vertical="center" wrapText="1" indent="1"/>
      <protection locked="0"/>
    </xf>
    <xf numFmtId="170" fontId="0" fillId="0" borderId="5" xfId="0" applyNumberFormat="1" applyFont="1" applyBorder="1" applyAlignment="1">
      <alignment horizontal="left" vertical="center" wrapText="1" indent="1"/>
    </xf>
    <xf numFmtId="170" fontId="0" fillId="15" borderId="5" xfId="0" applyNumberFormat="1" applyFont="1" applyFill="1" applyBorder="1" applyAlignment="1" applyProtection="1">
      <alignment horizontal="center" vertical="center" wrapText="1"/>
      <protection locked="0"/>
    </xf>
    <xf numFmtId="170" fontId="37" fillId="0" borderId="0" xfId="0" applyNumberFormat="1" applyFont="1" applyAlignment="1">
      <alignment horizontal="center" vertical="center" wrapText="1"/>
    </xf>
    <xf numFmtId="170" fontId="37" fillId="0" borderId="5" xfId="0" applyNumberFormat="1" applyFont="1" applyBorder="1" applyAlignment="1">
      <alignment horizontal="center" vertical="center" wrapText="1"/>
    </xf>
    <xf numFmtId="170" fontId="0" fillId="15" borderId="5" xfId="0" applyNumberFormat="1" applyFont="1" applyFill="1" applyBorder="1" applyAlignment="1" applyProtection="1">
      <alignment horizontal="left" vertical="center" wrapText="1"/>
      <protection locked="0"/>
    </xf>
    <xf numFmtId="170" fontId="0" fillId="12" borderId="5" xfId="0" applyNumberFormat="1" applyFont="1" applyFill="1" applyBorder="1" applyAlignment="1" applyProtection="1">
      <alignment horizontal="left" vertical="center" wrapText="1" indent="1"/>
      <protection locked="0"/>
    </xf>
    <xf numFmtId="170" fontId="0" fillId="15" borderId="6"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3" xfId="0" applyNumberFormat="1" applyFont="1" applyFill="1" applyBorder="1" applyAlignment="1">
      <alignment horizontal="center" vertical="top"/>
    </xf>
    <xf numFmtId="0" fontId="0" fillId="0" borderId="27"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6" fillId="11" borderId="23" xfId="0" applyNumberFormat="1" applyFont="1" applyFill="1" applyBorder="1" applyAlignment="1">
      <alignment horizontal="left" vertical="top"/>
    </xf>
    <xf numFmtId="0" fontId="6" fillId="0" borderId="5" xfId="0" applyNumberFormat="1" applyFont="1" applyBorder="1" applyAlignment="1">
      <alignment horizontal="left" vertical="top"/>
    </xf>
    <xf numFmtId="49" fontId="6" fillId="0" borderId="0" xfId="0" applyNumberFormat="1" applyFont="1" applyAlignment="1">
      <alignment horizontal="left" vertical="top"/>
    </xf>
    <xf numFmtId="0" fontId="0" fillId="11" borderId="29" xfId="0" applyNumberFormat="1" applyFont="1" applyFill="1" applyBorder="1" applyAlignment="1">
      <alignment horizontal="left" vertical="top" wrapText="1" indent="1"/>
    </xf>
    <xf numFmtId="49" fontId="6" fillId="16" borderId="29" xfId="0" applyNumberFormat="1" applyFont="1" applyFill="1" applyBorder="1" applyAlignment="1">
      <alignment horizontal="center" vertical="top" wrapText="1"/>
    </xf>
    <xf numFmtId="49" fontId="0" fillId="15" borderId="29" xfId="0" applyNumberFormat="1" applyFont="1" applyFill="1" applyBorder="1" applyAlignment="1" applyProtection="1">
      <alignment horizontal="center" vertical="top" wrapText="1"/>
      <protection locked="0"/>
    </xf>
    <xf numFmtId="49" fontId="0" fillId="12" borderId="29" xfId="0" applyNumberFormat="1" applyFont="1" applyFill="1" applyBorder="1" applyAlignment="1" applyProtection="1">
      <alignment horizontal="center" vertical="top" wrapText="1"/>
      <protection locked="0"/>
    </xf>
    <xf numFmtId="49" fontId="6" fillId="16" borderId="29" xfId="0" applyNumberFormat="1" applyFont="1" applyFill="1" applyBorder="1" applyAlignment="1">
      <alignment horizontal="left" vertical="top" wrapText="1"/>
    </xf>
    <xf numFmtId="49" fontId="6" fillId="15" borderId="29" xfId="0" applyNumberFormat="1" applyFont="1" applyFill="1" applyBorder="1" applyAlignment="1" applyProtection="1">
      <alignment horizontal="left" vertical="top" wrapText="1"/>
      <protection locked="0"/>
    </xf>
    <xf numFmtId="49" fontId="0" fillId="11" borderId="29" xfId="0" applyNumberFormat="1" applyFont="1" applyFill="1" applyBorder="1" applyAlignment="1">
      <alignment horizontal="center" vertical="top" wrapText="1"/>
    </xf>
    <xf numFmtId="0" fontId="6" fillId="11" borderId="29" xfId="0" applyNumberFormat="1" applyFont="1" applyFill="1" applyBorder="1" applyAlignment="1">
      <alignment horizontal="center" vertical="top" wrapText="1"/>
    </xf>
    <xf numFmtId="0" fontId="6" fillId="12" borderId="29" xfId="0" applyNumberFormat="1" applyFont="1" applyFill="1" applyBorder="1" applyAlignment="1" applyProtection="1">
      <alignment horizontal="left" vertical="top" wrapText="1"/>
      <protection locked="0"/>
    </xf>
    <xf numFmtId="0" fontId="30" fillId="0" borderId="29" xfId="0" applyNumberFormat="1" applyFont="1" applyBorder="1" applyAlignment="1">
      <alignment horizontal="left" vertical="center"/>
    </xf>
    <xf numFmtId="0" fontId="30" fillId="12" borderId="29" xfId="0" applyNumberFormat="1" applyFont="1" applyFill="1" applyBorder="1" applyAlignment="1" applyProtection="1">
      <alignment horizontal="left" vertical="center"/>
      <protection locked="0"/>
    </xf>
    <xf numFmtId="0" fontId="30" fillId="15" borderId="29" xfId="0" applyNumberFormat="1" applyFont="1" applyFill="1" applyBorder="1" applyAlignment="1" applyProtection="1">
      <alignment horizontal="left" vertical="center"/>
      <protection locked="0"/>
    </xf>
    <xf numFmtId="14" fontId="6" fillId="16" borderId="29" xfId="0" applyNumberFormat="1" applyFont="1" applyFill="1" applyBorder="1" applyAlignment="1">
      <alignment horizontal="left" vertical="center" wrapText="1" indent="1"/>
    </xf>
    <xf numFmtId="49" fontId="6" fillId="16"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0" fillId="10" borderId="5" xfId="0" applyNumberFormat="1" applyFont="1" applyFill="1" applyBorder="1" applyAlignment="1">
      <alignment vertical="top" wrapText="1"/>
    </xf>
    <xf numFmtId="0" fontId="36" fillId="0" borderId="5" xfId="0" applyNumberFormat="1" applyFont="1" applyBorder="1" applyAlignment="1">
      <alignment vertical="top" wrapText="1"/>
    </xf>
    <xf numFmtId="49" fontId="6" fillId="16" borderId="10" xfId="0" applyNumberFormat="1" applyFont="1" applyFill="1" applyBorder="1" applyAlignment="1">
      <alignment vertical="center" wrapText="1"/>
    </xf>
    <xf numFmtId="49" fontId="6" fillId="16" borderId="29" xfId="0" applyNumberFormat="1" applyFont="1" applyFill="1" applyBorder="1" applyAlignment="1">
      <alignment vertical="center" wrapText="1"/>
    </xf>
    <xf numFmtId="49" fontId="6" fillId="16" borderId="16" xfId="0" applyNumberFormat="1" applyFont="1" applyFill="1" applyBorder="1" applyAlignment="1">
      <alignment vertical="center" wrapText="1"/>
    </xf>
    <xf numFmtId="0" fontId="0" fillId="15" borderId="5" xfId="0" applyNumberFormat="1" applyFont="1" applyFill="1" applyBorder="1" applyAlignment="1" applyProtection="1">
      <alignment horizontal="left" vertical="center" wrapText="1" indent="1"/>
      <protection locked="0"/>
    </xf>
    <xf numFmtId="0" fontId="0" fillId="0" borderId="6"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49" fontId="6" fillId="0" borderId="0" xfId="0" applyNumberFormat="1" applyFont="1" applyAlignment="1">
      <alignment horizontal="left" vertical="center" indent="1"/>
    </xf>
    <xf numFmtId="170" fontId="0" fillId="15" borderId="7" xfId="0" applyNumberFormat="1" applyFont="1" applyFill="1" applyBorder="1" applyAlignment="1" applyProtection="1">
      <alignment horizontal="left" vertical="center" wrapText="1"/>
      <protection locked="0"/>
    </xf>
    <xf numFmtId="170" fontId="0" fillId="0" borderId="4" xfId="0" applyNumberFormat="1" applyFont="1" applyBorder="1" applyAlignment="1">
      <alignment horizontal="left" vertical="center" wrapText="1" indent="1"/>
    </xf>
    <xf numFmtId="49" fontId="6" fillId="10" borderId="19" xfId="0" applyNumberFormat="1" applyFont="1" applyFill="1" applyBorder="1" applyAlignment="1">
      <alignment horizontal="right" vertical="center" wrapText="1" indent="1"/>
    </xf>
    <xf numFmtId="49" fontId="36" fillId="0" borderId="0" xfId="0" applyNumberFormat="1" applyFont="1" applyAlignment="1">
      <alignment vertical="center" wrapText="1"/>
    </xf>
    <xf numFmtId="49" fontId="0" fillId="12" borderId="5" xfId="0" applyNumberFormat="1" applyFont="1" applyFill="1" applyBorder="1" applyAlignment="1" applyProtection="1">
      <alignment horizontal="left" vertical="center" wrapText="1"/>
      <protection locked="0"/>
    </xf>
    <xf numFmtId="4" fontId="0" fillId="15" borderId="5"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5"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0" fontId="6" fillId="16" borderId="29" xfId="0" applyNumberFormat="1" applyFont="1" applyFill="1" applyBorder="1" applyAlignment="1">
      <alignment horizontal="center" vertical="top" wrapText="1"/>
    </xf>
    <xf numFmtId="49" fontId="6" fillId="0" borderId="12"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6" borderId="29" xfId="0" applyNumberFormat="1" applyFont="1" applyFill="1" applyBorder="1" applyAlignment="1">
      <alignment horizontal="center" vertical="center" wrapText="1"/>
    </xf>
    <xf numFmtId="0" fontId="30" fillId="0" borderId="0" xfId="0" applyNumberFormat="1" applyFont="1" applyAlignment="1">
      <alignment horizontal="left"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5" fillId="0" borderId="5" xfId="0" applyNumberFormat="1" applyFont="1" applyBorder="1" applyAlignment="1">
      <alignment horizontal="center" vertical="center"/>
    </xf>
    <xf numFmtId="49" fontId="0" fillId="15" borderId="5" xfId="0" applyNumberFormat="1" applyFont="1" applyFill="1" applyBorder="1" applyAlignment="1" applyProtection="1">
      <alignment horizontal="left" vertical="center" wrapText="1"/>
      <protection locked="0"/>
    </xf>
    <xf numFmtId="0" fontId="36" fillId="0" borderId="0" xfId="0" applyNumberFormat="1" applyFont="1" applyAlignment="1">
      <alignment horizontal="center" vertical="top"/>
    </xf>
    <xf numFmtId="49" fontId="6" fillId="0" borderId="29" xfId="0" applyNumberFormat="1" applyFont="1" applyBorder="1" applyAlignment="1">
      <alignment horizontal="center" vertical="top" wrapText="1"/>
    </xf>
    <xf numFmtId="0" fontId="6" fillId="0" borderId="5" xfId="0" applyNumberFormat="1" applyFont="1" applyBorder="1" applyAlignment="1">
      <alignment horizontal="left" vertical="center" wrapText="1"/>
    </xf>
    <xf numFmtId="0" fontId="26" fillId="0" borderId="5" xfId="0" applyNumberFormat="1" applyFont="1" applyBorder="1" applyAlignment="1">
      <alignment horizontal="center" vertical="center" wrapText="1"/>
    </xf>
    <xf numFmtId="49" fontId="30" fillId="13" borderId="44" xfId="0" applyNumberFormat="1" applyFont="1" applyFill="1" applyBorder="1" applyAlignment="1">
      <alignment horizontal="left" vertical="center" indent="1"/>
    </xf>
    <xf numFmtId="49" fontId="6" fillId="12" borderId="5" xfId="0" applyNumberFormat="1" applyFont="1" applyFill="1" applyBorder="1" applyAlignment="1" applyProtection="1">
      <alignment horizontal="left" vertical="center" wrapText="1"/>
      <protection locked="0"/>
    </xf>
    <xf numFmtId="49" fontId="37" fillId="0" borderId="5" xfId="0" applyNumberFormat="1" applyFont="1" applyBorder="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0" fillId="0" borderId="5" xfId="0" applyNumberFormat="1" applyFont="1" applyBorder="1" applyAlignment="1">
      <alignment horizontal="left" vertical="center" wrapText="1"/>
    </xf>
    <xf numFmtId="0" fontId="6" fillId="0" borderId="29" xfId="0" applyNumberFormat="1" applyFont="1" applyBorder="1" applyAlignment="1">
      <alignment horizontal="center" vertical="center" wrapText="1"/>
    </xf>
    <xf numFmtId="0" fontId="6" fillId="10" borderId="7" xfId="0" applyNumberFormat="1" applyFont="1" applyFill="1" applyBorder="1" applyAlignment="1">
      <alignment horizontal="center" vertical="center" wrapText="1"/>
    </xf>
    <xf numFmtId="49" fontId="0" fillId="10"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16" borderId="7" xfId="0" applyNumberFormat="1" applyFont="1" applyFill="1" applyBorder="1" applyAlignment="1">
      <alignment horizontal="left" vertical="center" wrapText="1"/>
    </xf>
    <xf numFmtId="0" fontId="6" fillId="0" borderId="16" xfId="0" applyNumberFormat="1" applyFont="1" applyBorder="1" applyAlignment="1">
      <alignment horizontal="center" vertical="center" wrapText="1"/>
    </xf>
    <xf numFmtId="0" fontId="35" fillId="0" borderId="6" xfId="0" applyNumberFormat="1" applyFont="1" applyBorder="1" applyAlignment="1">
      <alignment horizontal="center" vertical="center"/>
    </xf>
    <xf numFmtId="49" fontId="0" fillId="14" borderId="0" xfId="0" applyNumberFormat="1" applyFont="1" applyFill="1">
      <alignment vertical="top"/>
    </xf>
    <xf numFmtId="0" fontId="27" fillId="10" borderId="0" xfId="0" applyNumberFormat="1" applyFont="1" applyFill="1" applyAlignment="1">
      <alignment horizontal="center" vertical="center" wrapText="1"/>
    </xf>
    <xf numFmtId="0" fontId="27" fillId="10" borderId="0" xfId="0" applyNumberFormat="1" applyFont="1" applyFill="1" applyAlignment="1">
      <alignment horizontal="center"/>
    </xf>
    <xf numFmtId="0" fontId="27"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lignment vertical="top"/>
    </xf>
    <xf numFmtId="49" fontId="6" fillId="0" borderId="0" xfId="0" applyNumberFormat="1" applyFont="1">
      <alignment vertical="top"/>
    </xf>
    <xf numFmtId="0" fontId="27" fillId="10" borderId="0" xfId="0" applyNumberFormat="1" applyFont="1" applyFill="1" applyAlignment="1">
      <alignment vertical="top" wrapText="1"/>
    </xf>
    <xf numFmtId="49" fontId="109" fillId="15" borderId="5" xfId="0" applyNumberFormat="1" applyFont="1" applyFill="1" applyBorder="1" applyAlignment="1" applyProtection="1">
      <alignment horizontal="left" vertical="center" wrapText="1"/>
      <protection locked="0"/>
    </xf>
    <xf numFmtId="49" fontId="27" fillId="0" borderId="0" xfId="0" applyNumberFormat="1" applyFont="1" applyAlignment="1">
      <alignment horizontal="center" vertical="center" wrapText="1"/>
    </xf>
    <xf numFmtId="0" fontId="27" fillId="0" borderId="17" xfId="0" applyNumberFormat="1" applyFont="1" applyBorder="1" applyAlignment="1">
      <alignment horizontal="center" vertical="center" wrapText="1"/>
    </xf>
    <xf numFmtId="49" fontId="110" fillId="0" borderId="0" xfId="0" applyNumberFormat="1" applyFont="1" applyAlignment="1">
      <alignment horizontal="center" vertical="top" wrapText="1"/>
    </xf>
    <xf numFmtId="49" fontId="0" fillId="11" borderId="29" xfId="0" applyNumberFormat="1" applyFont="1" applyFill="1" applyBorder="1">
      <alignment vertical="top"/>
    </xf>
    <xf numFmtId="49" fontId="0" fillId="0" borderId="29" xfId="0" applyNumberFormat="1" applyFont="1" applyBorder="1">
      <alignment vertical="top"/>
    </xf>
    <xf numFmtId="49" fontId="0" fillId="15" borderId="29" xfId="0" applyNumberFormat="1" applyFont="1" applyFill="1" applyBorder="1" applyProtection="1">
      <alignment vertical="top"/>
      <protection locked="0"/>
    </xf>
    <xf numFmtId="49" fontId="0" fillId="15" borderId="10" xfId="0" applyNumberFormat="1" applyFont="1" applyFill="1" applyBorder="1" applyProtection="1">
      <alignment vertical="top"/>
      <protection locked="0"/>
    </xf>
    <xf numFmtId="49" fontId="0" fillId="15" borderId="16" xfId="0" applyNumberFormat="1" applyFont="1" applyFill="1" applyBorder="1" applyProtection="1">
      <alignment vertical="top"/>
      <protection locked="0"/>
    </xf>
    <xf numFmtId="49" fontId="110" fillId="0" borderId="29" xfId="0" applyNumberFormat="1" applyFont="1" applyBorder="1" applyAlignment="1">
      <alignment horizontal="center" vertical="top" wrapText="1"/>
    </xf>
    <xf numFmtId="49" fontId="0" fillId="0" borderId="0" xfId="0" applyNumberFormat="1" applyFont="1">
      <alignment vertical="top"/>
    </xf>
    <xf numFmtId="49" fontId="0" fillId="0" borderId="12" xfId="0" applyNumberFormat="1" applyFont="1" applyBorder="1">
      <alignment vertical="top"/>
    </xf>
    <xf numFmtId="49" fontId="0" fillId="0" borderId="15" xfId="0" applyNumberFormat="1" applyFont="1" applyBorder="1">
      <alignment vertical="top"/>
    </xf>
    <xf numFmtId="49" fontId="0" fillId="0" borderId="17"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3" borderId="8" xfId="0" applyNumberFormat="1" applyFont="1" applyFill="1" applyBorder="1" applyAlignment="1">
      <alignment vertical="center"/>
    </xf>
    <xf numFmtId="49" fontId="0" fillId="0" borderId="29" xfId="0" applyNumberFormat="1" applyFont="1" applyBorder="1" applyAlignment="1">
      <alignment horizontal="left" vertical="top"/>
    </xf>
    <xf numFmtId="49" fontId="0" fillId="16" borderId="29" xfId="0" applyNumberFormat="1" applyFont="1" applyFill="1" applyBorder="1" applyAlignment="1">
      <alignment horizontal="left" vertical="top"/>
    </xf>
    <xf numFmtId="49" fontId="0" fillId="12" borderId="29" xfId="0" applyNumberFormat="1" applyFont="1" applyFill="1" applyBorder="1" applyAlignment="1" applyProtection="1">
      <alignment horizontal="left" vertical="top"/>
      <protection locked="0"/>
    </xf>
    <xf numFmtId="49" fontId="0" fillId="16" borderId="29"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12" borderId="29" xfId="0" applyNumberFormat="1" applyFont="1" applyFill="1" applyBorder="1" applyProtection="1">
      <alignment vertical="top"/>
      <protection locked="0"/>
    </xf>
    <xf numFmtId="49" fontId="0" fillId="0" borderId="12" xfId="0" applyNumberFormat="1" applyFont="1" applyBorder="1" applyAlignment="1">
      <alignment horizontal="left" vertical="center" wrapText="1"/>
    </xf>
    <xf numFmtId="0" fontId="0" fillId="0" borderId="0" xfId="0" applyNumberFormat="1" applyFont="1" applyAlignment="1">
      <alignment vertical="center"/>
    </xf>
    <xf numFmtId="0" fontId="0" fillId="0" borderId="20" xfId="0" applyNumberFormat="1" applyFont="1" applyBorder="1" applyAlignment="1">
      <alignment vertical="center"/>
    </xf>
    <xf numFmtId="49" fontId="27" fillId="0" borderId="29" xfId="0" applyNumberFormat="1" applyFont="1" applyBorder="1" applyAlignment="1">
      <alignment vertical="center" wrapText="1"/>
    </xf>
    <xf numFmtId="49" fontId="27" fillId="0" borderId="29" xfId="0" applyNumberFormat="1" applyFont="1" applyBorder="1" applyAlignment="1">
      <alignment horizontal="center" vertical="center" wrapText="1"/>
    </xf>
    <xf numFmtId="49" fontId="27" fillId="0" borderId="12" xfId="0" applyNumberFormat="1" applyFont="1" applyBorder="1" applyAlignment="1">
      <alignment vertical="center" wrapText="1"/>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0" fontId="6" fillId="10" borderId="16" xfId="0" applyNumberFormat="1" applyFont="1" applyFill="1" applyBorder="1" applyAlignment="1">
      <alignment horizontal="center" vertical="center" wrapText="1"/>
    </xf>
    <xf numFmtId="0" fontId="6" fillId="0" borderId="29" xfId="0" applyNumberFormat="1" applyFont="1" applyBorder="1" applyAlignment="1">
      <alignment horizontal="left" vertical="top" wrapText="1"/>
    </xf>
    <xf numFmtId="0" fontId="0" fillId="0" borderId="6" xfId="0" applyNumberFormat="1" applyFont="1" applyBorder="1" applyAlignment="1">
      <alignment horizontal="center" vertical="center" wrapText="1"/>
    </xf>
    <xf numFmtId="4" fontId="0" fillId="15" borderId="6" xfId="0" applyNumberFormat="1" applyFont="1" applyFill="1" applyBorder="1" applyAlignment="1" applyProtection="1">
      <alignment horizontal="right" vertical="center" wrapText="1"/>
      <protection locked="0"/>
    </xf>
    <xf numFmtId="0" fontId="0" fillId="0" borderId="6"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xf>
    <xf numFmtId="49" fontId="0" fillId="10" borderId="10" xfId="0" applyNumberFormat="1" applyFont="1" applyFill="1" applyBorder="1" applyAlignment="1">
      <alignment horizontal="center" vertical="center" wrapText="1"/>
    </xf>
    <xf numFmtId="0" fontId="0" fillId="0" borderId="16" xfId="0" applyNumberFormat="1" applyFont="1" applyBorder="1" applyAlignment="1">
      <alignment horizontal="center" vertical="center" wrapText="1"/>
    </xf>
    <xf numFmtId="0" fontId="6" fillId="16" borderId="7" xfId="0" applyNumberFormat="1" applyFont="1" applyFill="1" applyBorder="1" applyAlignment="1">
      <alignment horizontal="left" vertical="center" wrapText="1"/>
    </xf>
    <xf numFmtId="49" fontId="0" fillId="0" borderId="5" xfId="0" applyNumberFormat="1" applyFont="1" applyBorder="1" applyAlignment="1">
      <alignment horizontal="center" vertical="center" wrapText="1"/>
    </xf>
    <xf numFmtId="49" fontId="35" fillId="29" borderId="0" xfId="0" applyNumberFormat="1" applyFont="1" applyFill="1" applyAlignment="1">
      <alignment vertical="center" wrapText="1"/>
    </xf>
    <xf numFmtId="0" fontId="36" fillId="0" borderId="0" xfId="0" applyNumberFormat="1" applyFont="1" applyAlignment="1">
      <alignment vertical="top" wrapText="1"/>
    </xf>
    <xf numFmtId="49" fontId="22"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9"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5" xfId="0" applyNumberFormat="1" applyFont="1" applyBorder="1" applyAlignment="1">
      <alignment horizontal="left" vertical="center" wrapText="1"/>
    </xf>
    <xf numFmtId="0"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6" fillId="0" borderId="5" xfId="0" applyNumberFormat="1" applyFont="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49" fontId="6" fillId="11" borderId="5" xfId="0" applyNumberFormat="1" applyFont="1" applyFill="1" applyBorder="1" applyAlignment="1">
      <alignment horizontal="center" vertical="center" wrapText="1"/>
    </xf>
    <xf numFmtId="0" fontId="0" fillId="0" borderId="5" xfId="0" applyNumberFormat="1" applyFont="1" applyBorder="1" applyAlignment="1">
      <alignment horizontal="left" vertical="top" wrapText="1"/>
    </xf>
    <xf numFmtId="14" fontId="6" fillId="16" borderId="5" xfId="0" applyNumberFormat="1" applyFont="1" applyFill="1" applyBorder="1" applyAlignment="1">
      <alignment horizontal="left" vertical="center" wrapText="1" indent="1"/>
    </xf>
    <xf numFmtId="49" fontId="14" fillId="0" borderId="5"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16" xfId="0" applyNumberFormat="1" applyFont="1" applyBorder="1" applyAlignment="1">
      <alignment horizontal="left" vertical="center" wrapText="1" inden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168" fontId="6" fillId="0" borderId="16"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5" xfId="0" applyNumberFormat="1" applyFont="1" applyFill="1" applyBorder="1" applyAlignment="1">
      <alignment vertical="top" wrapText="1"/>
    </xf>
    <xf numFmtId="0" fontId="6" fillId="10" borderId="5" xfId="0" applyNumberFormat="1" applyFont="1" applyFill="1" applyBorder="1" applyAlignment="1">
      <alignment horizontal="left" vertical="top" wrapText="1"/>
    </xf>
    <xf numFmtId="49" fontId="16" fillId="12" borderId="16" xfId="0" applyNumberFormat="1" applyFont="1" applyFill="1" applyBorder="1" applyAlignment="1" applyProtection="1">
      <alignment horizontal="left" vertical="center" wrapText="1"/>
      <protection locked="0"/>
    </xf>
    <xf numFmtId="49" fontId="0" fillId="13" borderId="22"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3"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6"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indent="1"/>
    </xf>
    <xf numFmtId="0" fontId="37" fillId="0" borderId="0" xfId="0" applyNumberFormat="1" applyFont="1" applyAlignment="1">
      <alignment horizontal="center" vertical="center" wrapText="1"/>
    </xf>
    <xf numFmtId="0" fontId="6" fillId="11" borderId="5" xfId="0" applyNumberFormat="1" applyFont="1" applyFill="1" applyBorder="1" applyAlignment="1">
      <alignment horizontal="left" vertical="center" wrapText="1"/>
    </xf>
    <xf numFmtId="168" fontId="6" fillId="0" borderId="5"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37" fillId="0" borderId="0" xfId="0" applyNumberFormat="1" applyFont="1" applyAlignment="1">
      <alignment horizontal="center" vertical="center" wrapText="1"/>
    </xf>
    <xf numFmtId="49" fontId="6" fillId="15" borderId="5" xfId="0" applyNumberFormat="1" applyFont="1" applyFill="1" applyBorder="1" applyAlignment="1" applyProtection="1">
      <alignment horizontal="left" vertical="center" wrapText="1"/>
      <protection locked="0"/>
    </xf>
    <xf numFmtId="0" fontId="6" fillId="10" borderId="29" xfId="0" applyNumberFormat="1" applyFont="1" applyFill="1" applyBorder="1" applyAlignment="1">
      <alignment vertical="center" wrapText="1"/>
    </xf>
    <xf numFmtId="168" fontId="35" fillId="0" borderId="12" xfId="0" applyNumberFormat="1" applyFont="1" applyBorder="1" applyAlignment="1">
      <alignment horizontal="center" vertical="center" wrapText="1"/>
    </xf>
    <xf numFmtId="168" fontId="35" fillId="0" borderId="13" xfId="0" applyNumberFormat="1" applyFont="1" applyBorder="1" applyAlignment="1">
      <alignment horizontal="center" vertical="center" wrapText="1"/>
    </xf>
    <xf numFmtId="171" fontId="6" fillId="15" borderId="5" xfId="0" applyNumberFormat="1" applyFont="1" applyFill="1" applyBorder="1" applyAlignment="1" applyProtection="1">
      <alignment horizontal="left" vertical="center" wrapText="1" indent="1"/>
      <protection locked="0"/>
    </xf>
    <xf numFmtId="170" fontId="0" fillId="15" borderId="8" xfId="0" applyNumberFormat="1" applyFont="1" applyFill="1" applyBorder="1" applyAlignment="1" applyProtection="1">
      <alignment horizontal="left" vertical="center" wrapText="1" indent="1"/>
      <protection locked="0"/>
    </xf>
    <xf numFmtId="49" fontId="6" fillId="15" borderId="20" xfId="0" applyNumberFormat="1" applyFont="1" applyFill="1" applyBorder="1" applyAlignment="1" applyProtection="1">
      <alignment horizontal="left" vertical="center" wrapText="1"/>
      <protection locked="0"/>
    </xf>
    <xf numFmtId="49" fontId="6" fillId="15" borderId="23" xfId="0" applyNumberFormat="1" applyFont="1" applyFill="1" applyBorder="1" applyAlignment="1" applyProtection="1">
      <alignment horizontal="left" vertical="center" wrapText="1"/>
      <protection locked="0"/>
    </xf>
    <xf numFmtId="49" fontId="16" fillId="13" borderId="22" xfId="0" applyNumberFormat="1" applyFont="1" applyFill="1" applyBorder="1" applyAlignment="1">
      <alignment horizontal="left" vertical="center" wrapText="1"/>
    </xf>
    <xf numFmtId="0" fontId="6" fillId="15" borderId="5" xfId="0" applyNumberFormat="1" applyFont="1" applyFill="1" applyBorder="1" applyAlignment="1" applyProtection="1">
      <alignment horizontal="left" vertical="top" wrapText="1" indent="1"/>
      <protection locked="0"/>
    </xf>
    <xf numFmtId="0" fontId="6" fillId="0" borderId="8"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6" fillId="10" borderId="15" xfId="0" applyNumberFormat="1" applyFont="1" applyFill="1" applyBorder="1" applyAlignment="1">
      <alignment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0" xfId="26" applyNumberFormat="1" applyFont="1" applyAlignment="1">
      <alignment horizontal="center" vertical="center" wrapText="1"/>
    </xf>
    <xf numFmtId="0" fontId="26" fillId="0" borderId="5" xfId="26" applyNumberFormat="1" applyFont="1" applyBorder="1" applyAlignment="1">
      <alignment horizontal="center" vertical="center" wrapText="1"/>
    </xf>
    <xf numFmtId="0" fontId="6" fillId="0" borderId="5" xfId="0" applyNumberFormat="1" applyFont="1" applyBorder="1" applyAlignment="1">
      <alignment horizontal="left" vertical="top"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5" xfId="0" applyNumberFormat="1" applyFont="1" applyBorder="1" applyAlignment="1">
      <alignment horizontal="center" vertical="center" wrapText="1"/>
    </xf>
    <xf numFmtId="49" fontId="6" fillId="16" borderId="5" xfId="0" applyNumberFormat="1" applyFont="1" applyFill="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2"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10" borderId="5"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11" borderId="8"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7" fillId="0" borderId="0" xfId="0" applyNumberFormat="1" applyFont="1" applyAlignment="1">
      <alignment horizontal="center" vertical="center" wrapText="1"/>
    </xf>
    <xf numFmtId="170" fontId="0" fillId="15" borderId="5" xfId="0" applyNumberFormat="1" applyFont="1" applyFill="1" applyBorder="1" applyAlignment="1" applyProtection="1">
      <alignment horizontal="center" vertical="center" wrapText="1"/>
      <protection locked="0"/>
    </xf>
    <xf numFmtId="0" fontId="67" fillId="10" borderId="12" xfId="0" applyNumberFormat="1" applyFont="1" applyFill="1" applyBorder="1" applyAlignment="1">
      <alignment horizontal="center" vertical="center" wrapText="1"/>
    </xf>
    <xf numFmtId="0" fontId="27" fillId="0" borderId="20"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xf>
    <xf numFmtId="0" fontId="6" fillId="10" borderId="16" xfId="0" applyNumberFormat="1" applyFont="1" applyFill="1" applyBorder="1" applyAlignment="1">
      <alignment horizontal="center" vertical="center" wrapText="1"/>
    </xf>
    <xf numFmtId="0" fontId="37" fillId="0" borderId="8" xfId="0" applyNumberFormat="1" applyFont="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0" fontId="6" fillId="10" borderId="10" xfId="0" applyNumberFormat="1" applyFont="1" applyFill="1" applyBorder="1" applyAlignment="1">
      <alignment horizontal="left" vertical="center" wrapText="1"/>
    </xf>
    <xf numFmtId="4" fontId="6" fillId="15" borderId="5" xfId="0" applyNumberFormat="1" applyFont="1" applyFill="1" applyBorder="1" applyAlignment="1" applyProtection="1">
      <alignment horizontal="left" vertical="center" wrapText="1" indent="1"/>
      <protection locked="0"/>
    </xf>
    <xf numFmtId="49" fontId="6" fillId="12" borderId="10"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7" fillId="0" borderId="5" xfId="0" applyNumberFormat="1" applyFont="1" applyBorder="1" applyAlignment="1">
      <alignment horizontal="center" vertical="center" wrapText="1"/>
    </xf>
    <xf numFmtId="49" fontId="6" fillId="0" borderId="5" xfId="0" applyNumberFormat="1" applyFont="1" applyBorder="1" applyAlignment="1">
      <alignment horizontal="left" vertical="center" wrapText="1"/>
    </xf>
    <xf numFmtId="0" fontId="6" fillId="10" borderId="2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9" fontId="6" fillId="16" borderId="8"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5" xfId="0" applyNumberFormat="1" applyFont="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7" fillId="10" borderId="12"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12" borderId="5" xfId="0" applyNumberFormat="1" applyFont="1" applyFill="1" applyBorder="1" applyAlignment="1" applyProtection="1">
      <alignment horizontal="left" vertical="center" indent="1"/>
      <protection locked="0"/>
    </xf>
    <xf numFmtId="49" fontId="6" fillId="10" borderId="5" xfId="0" applyNumberFormat="1" applyFont="1" applyFill="1" applyBorder="1" applyAlignment="1">
      <alignment horizontal="center" vertical="center" wrapText="1"/>
    </xf>
    <xf numFmtId="170" fontId="0" fillId="15" borderId="5" xfId="0" applyNumberFormat="1" applyFont="1" applyFill="1" applyBorder="1" applyAlignment="1" applyProtection="1">
      <alignment horizontal="left" vertical="center" wrapText="1" indent="1"/>
      <protection locked="0"/>
    </xf>
    <xf numFmtId="49" fontId="112" fillId="15" borderId="5" xfId="0" applyNumberFormat="1" applyFont="1" applyFill="1" applyBorder="1" applyAlignment="1" applyProtection="1">
      <alignment horizontal="left" vertical="center" wrapText="1" indent="1"/>
      <protection locked="0"/>
    </xf>
    <xf numFmtId="0" fontId="6" fillId="15" borderId="5" xfId="0" applyNumberFormat="1" applyFont="1" applyFill="1" applyBorder="1" applyAlignment="1" applyProtection="1">
      <alignment horizontal="left" vertical="center" wrapText="1" indent="1"/>
      <protection locked="0"/>
    </xf>
    <xf numFmtId="49" fontId="112" fillId="15" borderId="5" xfId="0" applyNumberFormat="1" applyFont="1" applyFill="1" applyBorder="1" applyAlignment="1" applyProtection="1">
      <alignment horizontal="left" vertical="center" wrapText="1" indent="1"/>
      <protection locked="0"/>
    </xf>
    <xf numFmtId="0" fontId="32" fillId="0" borderId="0" xfId="0" applyNumberFormat="1" applyFont="1" applyAlignment="1">
      <alignment vertical="center" wrapText="1"/>
    </xf>
    <xf numFmtId="49" fontId="37" fillId="0" borderId="5" xfId="0" applyNumberFormat="1" applyFont="1" applyBorder="1" applyAlignment="1">
      <alignment horizontal="center" vertical="center" wrapText="1"/>
    </xf>
    <xf numFmtId="49" fontId="37" fillId="0" borderId="7" xfId="0" applyNumberFormat="1" applyFont="1" applyBorder="1" applyAlignment="1">
      <alignment horizontal="left" vertical="center" wrapText="1"/>
    </xf>
    <xf numFmtId="0" fontId="37" fillId="0" borderId="7" xfId="0" applyNumberFormat="1" applyFont="1" applyBorder="1" applyAlignment="1">
      <alignment horizontal="left" vertical="center"/>
    </xf>
    <xf numFmtId="0" fontId="37" fillId="0" borderId="8" xfId="0" applyNumberFormat="1" applyFont="1" applyBorder="1" applyAlignment="1">
      <alignment horizontal="left" vertical="center"/>
    </xf>
    <xf numFmtId="0" fontId="0" fillId="0" borderId="0" xfId="0" applyNumberFormat="1" applyFont="1" applyAlignment="1">
      <alignment vertical="center"/>
    </xf>
    <xf numFmtId="0" fontId="6" fillId="0" borderId="0" xfId="0" applyNumberFormat="1" applyFont="1" applyAlignment="1">
      <alignment horizontal="left" vertical="center" indent="1"/>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22"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6" xfId="0" applyNumberFormat="1" applyFont="1" applyFill="1" applyBorder="1" applyAlignment="1">
      <alignment horizontal="left" vertical="center"/>
    </xf>
    <xf numFmtId="0" fontId="30" fillId="13" borderId="7"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30" fillId="13" borderId="8" xfId="0" applyNumberFormat="1" applyFont="1" applyFill="1" applyBorder="1" applyAlignment="1">
      <alignment horizontal="lef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0" fillId="13" borderId="8" xfId="0" applyNumberFormat="1" applyFont="1" applyFill="1" applyBorder="1" applyAlignment="1">
      <alignment vertical="center"/>
    </xf>
    <xf numFmtId="0" fontId="30" fillId="13" borderId="6" xfId="0" applyNumberFormat="1" applyFont="1" applyFill="1" applyBorder="1" applyAlignment="1">
      <alignment horizontal="left" vertical="center"/>
    </xf>
    <xf numFmtId="0" fontId="6" fillId="0" borderId="0" xfId="0" applyNumberFormat="1" applyFont="1" applyAlignment="1">
      <alignment vertical="center" wrapText="1"/>
    </xf>
    <xf numFmtId="4" fontId="6" fillId="12" borderId="5" xfId="0" applyNumberFormat="1" applyFont="1" applyFill="1" applyBorder="1" applyAlignment="1" applyProtection="1">
      <alignment horizontal="right" vertical="center" wrapText="1"/>
      <protection locked="0"/>
    </xf>
    <xf numFmtId="4" fontId="6" fillId="0" borderId="5" xfId="0" applyNumberFormat="1" applyFont="1" applyBorder="1" applyAlignment="1">
      <alignment horizontal="right"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37" fillId="0" borderId="0" xfId="0" applyNumberFormat="1" applyFont="1" applyAlignment="1">
      <alignment horizontal="center"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6" fillId="0" borderId="12"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0" fontId="18" fillId="10" borderId="0" xfId="0" applyNumberFormat="1" applyFont="1" applyFill="1" applyAlignment="1">
      <alignment horizontal="center" vertical="center" wrapText="1"/>
    </xf>
    <xf numFmtId="0" fontId="37" fillId="0" borderId="0" xfId="0" applyNumberFormat="1" applyFont="1" applyAlignment="1">
      <alignmen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7" fillId="10" borderId="0" xfId="0" applyNumberFormat="1" applyFont="1" applyFill="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0" fontId="36" fillId="0" borderId="0" xfId="0" applyNumberFormat="1" applyFont="1" applyAlignment="1">
      <alignment horizontal="left" vertical="center" wrapText="1"/>
    </xf>
    <xf numFmtId="0" fontId="27" fillId="0" borderId="0" xfId="0" applyNumberFormat="1" applyFont="1" applyAlignment="1">
      <alignment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6" fillId="10" borderId="5" xfId="0" applyNumberFormat="1" applyFont="1" applyFill="1" applyBorder="1" applyAlignment="1">
      <alignment horizontal="left" vertical="center" wrapText="1"/>
    </xf>
    <xf numFmtId="0" fontId="6" fillId="10" borderId="5" xfId="0" applyNumberFormat="1" applyFont="1" applyFill="1" applyBorder="1" applyAlignment="1">
      <alignment horizontal="left" vertical="center" wrapText="1" indent="2"/>
    </xf>
    <xf numFmtId="0" fontId="6" fillId="0" borderId="5" xfId="0" applyNumberFormat="1" applyFont="1" applyBorder="1" applyAlignment="1">
      <alignment horizontal="left" vertical="center" wrapText="1" indent="6"/>
    </xf>
    <xf numFmtId="0" fontId="35" fillId="0" borderId="5" xfId="0" applyNumberFormat="1" applyFont="1" applyBorder="1" applyAlignment="1">
      <alignment vertical="top" wrapText="1"/>
    </xf>
    <xf numFmtId="0" fontId="37" fillId="0" borderId="0" xfId="0" applyNumberFormat="1" applyFont="1" applyAlignment="1">
      <alignment vertical="center"/>
    </xf>
    <xf numFmtId="49" fontId="36" fillId="0" borderId="0" xfId="0" applyNumberFormat="1" applyFont="1" applyAlignment="1">
      <alignment vertical="center" wrapText="1"/>
    </xf>
    <xf numFmtId="0" fontId="37" fillId="0" borderId="0" xfId="0" applyNumberFormat="1" applyFont="1" applyAlignment="1">
      <alignment horizontal="center" vertical="center" wrapText="1"/>
    </xf>
    <xf numFmtId="0" fontId="37" fillId="0" borderId="17"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37" fillId="0" borderId="17" xfId="0" applyNumberFormat="1" applyFont="1" applyBorder="1" applyAlignment="1">
      <alignment vertical="center" wrapText="1"/>
    </xf>
    <xf numFmtId="0" fontId="6" fillId="10" borderId="5" xfId="0" applyNumberFormat="1" applyFont="1" applyFill="1" applyBorder="1" applyAlignment="1">
      <alignment horizontal="left" vertical="center" wrapText="1" indent="5"/>
    </xf>
    <xf numFmtId="0" fontId="35" fillId="0" borderId="10" xfId="0" applyNumberFormat="1" applyFont="1" applyBorder="1" applyAlignment="1">
      <alignment vertical="top" wrapText="1"/>
    </xf>
    <xf numFmtId="49" fontId="6" fillId="12" borderId="5" xfId="0" applyNumberFormat="1" applyFont="1" applyFill="1" applyBorder="1" applyAlignment="1" applyProtection="1">
      <alignment horizontal="left" vertical="center" wrapText="1" indent="6"/>
      <protection locked="0"/>
    </xf>
    <xf numFmtId="4" fontId="6" fillId="0" borderId="30" xfId="0" applyNumberFormat="1" applyFont="1" applyBorder="1" applyAlignment="1">
      <alignment horizontal="right" vertical="center" wrapText="1"/>
    </xf>
    <xf numFmtId="49" fontId="6" fillId="0" borderId="5" xfId="0" applyNumberFormat="1" applyFont="1" applyBorder="1" applyAlignment="1">
      <alignment horizontal="left" vertical="center" wrapText="1"/>
    </xf>
    <xf numFmtId="4" fontId="6" fillId="0" borderId="23" xfId="0" applyNumberFormat="1" applyFont="1" applyBorder="1" applyAlignment="1">
      <alignment horizontal="right"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 fillId="0" borderId="0" xfId="0" applyNumberFormat="1" applyFont="1">
      <alignment vertical="top"/>
    </xf>
    <xf numFmtId="49" fontId="29" fillId="0" borderId="0" xfId="0" applyNumberFormat="1" applyFont="1">
      <alignment vertical="top"/>
    </xf>
    <xf numFmtId="49" fontId="6" fillId="0" borderId="17" xfId="0" applyNumberFormat="1" applyFont="1" applyBorder="1">
      <alignment vertical="top"/>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10" borderId="5" xfId="0" applyNumberFormat="1" applyFont="1" applyFill="1" applyBorder="1" applyAlignment="1">
      <alignment horizontal="left" vertical="center" wrapText="1" inden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center" vertical="center"/>
    </xf>
    <xf numFmtId="49" fontId="37" fillId="0" borderId="0" xfId="0" applyNumberFormat="1" applyFont="1" applyAlignment="1">
      <alignment horizontal="left" vertical="center"/>
    </xf>
    <xf numFmtId="49" fontId="37" fillId="0" borderId="0" xfId="0" applyNumberFormat="1" applyFont="1">
      <alignment vertical="top"/>
    </xf>
    <xf numFmtId="49" fontId="94" fillId="0" borderId="0" xfId="0" applyNumberFormat="1" applyFont="1">
      <alignment vertical="top"/>
    </xf>
    <xf numFmtId="49" fontId="84" fillId="0" borderId="0" xfId="0" applyNumberFormat="1" applyFont="1" applyAlignment="1">
      <alignment horizontal="left" vertical="center"/>
    </xf>
    <xf numFmtId="49" fontId="37" fillId="0" borderId="0" xfId="0" applyNumberFormat="1" applyFont="1" applyAlignment="1">
      <alignment horizontal="left" vertical="center" inden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 fillId="0" borderId="0" xfId="0" applyNumberFormat="1" applyFont="1" applyAlignment="1">
      <alignment vertical="center" wrapText="1"/>
    </xf>
    <xf numFmtId="0" fontId="6" fillId="0" borderId="5" xfId="0" applyNumberFormat="1" applyFont="1" applyBorder="1" applyAlignment="1">
      <alignment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0" fontId="6" fillId="0" borderId="0" xfId="0" applyNumberFormat="1" applyFont="1" applyAlignment="1">
      <alignment vertical="top" wrapText="1"/>
    </xf>
    <xf numFmtId="170" fontId="0" fillId="15" borderId="6" xfId="0" applyNumberFormat="1" applyFont="1" applyFill="1" applyBorder="1" applyAlignment="1" applyProtection="1">
      <alignment horizontal="left" vertical="center" wrapText="1"/>
      <protection locked="0"/>
    </xf>
    <xf numFmtId="170" fontId="0" fillId="15" borderId="7" xfId="0" applyNumberFormat="1" applyFont="1" applyFill="1" applyBorder="1" applyAlignment="1" applyProtection="1">
      <alignment horizontal="left" vertical="center" wrapText="1"/>
      <protection locked="0"/>
    </xf>
    <xf numFmtId="0" fontId="6" fillId="16" borderId="5" xfId="0" applyNumberFormat="1" applyFont="1" applyFill="1" applyBorder="1" applyAlignment="1">
      <alignment horizontal="left" vertical="center" wrapText="1"/>
    </xf>
    <xf numFmtId="0" fontId="0" fillId="0" borderId="29" xfId="0" applyNumberFormat="1" applyFont="1" applyBorder="1" applyAlignment="1">
      <alignment horizontal="center" vertical="center" wrapText="1"/>
    </xf>
    <xf numFmtId="0" fontId="58" fillId="0" borderId="0" xfId="0" applyNumberFormat="1" applyFont="1" applyAlignment="1">
      <alignment vertical="center" wrapText="1"/>
    </xf>
    <xf numFmtId="49" fontId="30" fillId="13" borderId="20" xfId="0" applyNumberFormat="1" applyFont="1" applyFill="1" applyBorder="1" applyAlignment="1">
      <alignment horizontal="left" vertical="center"/>
    </xf>
    <xf numFmtId="49" fontId="30" fillId="13" borderId="8"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2"/>
    </xf>
    <xf numFmtId="49" fontId="30" fillId="13" borderId="20" xfId="0" applyNumberFormat="1" applyFont="1" applyFill="1" applyBorder="1" applyAlignment="1">
      <alignment horizontal="left" vertical="center"/>
    </xf>
    <xf numFmtId="49" fontId="34" fillId="13" borderId="6" xfId="0" applyNumberFormat="1" applyFont="1" applyFill="1" applyBorder="1" applyAlignment="1">
      <alignment horizontal="center" vertical="top"/>
    </xf>
    <xf numFmtId="4" fontId="0" fillId="15" borderId="5" xfId="0" applyNumberFormat="1" applyFont="1" applyFill="1" applyBorder="1" applyAlignment="1" applyProtection="1">
      <alignment horizontal="right" vertical="center" wrapText="1"/>
      <protection locked="0"/>
    </xf>
    <xf numFmtId="49" fontId="30" fillId="13" borderId="20" xfId="0" applyNumberFormat="1" applyFont="1" applyFill="1" applyBorder="1" applyAlignment="1">
      <alignment horizontal="left" vertical="center"/>
    </xf>
    <xf numFmtId="49" fontId="30" fillId="13" borderId="8"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2"/>
    </xf>
    <xf numFmtId="49" fontId="30" fillId="13" borderId="20" xfId="0" applyNumberFormat="1" applyFont="1" applyFill="1" applyBorder="1" applyAlignment="1">
      <alignment horizontal="left" vertical="center"/>
    </xf>
    <xf numFmtId="49" fontId="34" fillId="13" borderId="6" xfId="0" applyNumberFormat="1" applyFont="1" applyFill="1" applyBorder="1" applyAlignment="1">
      <alignment horizontal="center" vertical="top"/>
    </xf>
    <xf numFmtId="49" fontId="30" fillId="13" borderId="20" xfId="0" applyNumberFormat="1" applyFont="1" applyFill="1" applyBorder="1" applyAlignment="1">
      <alignment horizontal="left" vertical="center"/>
    </xf>
    <xf numFmtId="49" fontId="30" fillId="13" borderId="8"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2"/>
    </xf>
    <xf numFmtId="49" fontId="30" fillId="13" borderId="20" xfId="0" applyNumberFormat="1" applyFont="1" applyFill="1" applyBorder="1" applyAlignment="1">
      <alignment horizontal="left" vertical="center"/>
    </xf>
    <xf numFmtId="49" fontId="34" fillId="13" borderId="6" xfId="0" applyNumberFormat="1" applyFont="1" applyFill="1" applyBorder="1" applyAlignment="1">
      <alignment horizontal="center" vertical="top"/>
    </xf>
    <xf numFmtId="49" fontId="30" fillId="13" borderId="20" xfId="0" applyNumberFormat="1" applyFont="1" applyFill="1" applyBorder="1" applyAlignment="1">
      <alignment horizontal="left" vertical="center"/>
    </xf>
    <xf numFmtId="49" fontId="30" fillId="13" borderId="8"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2"/>
    </xf>
    <xf numFmtId="49" fontId="30" fillId="13" borderId="20" xfId="0" applyNumberFormat="1" applyFont="1" applyFill="1" applyBorder="1" applyAlignment="1">
      <alignment horizontal="left" vertical="center"/>
    </xf>
    <xf numFmtId="49" fontId="34" fillId="13" borderId="6" xfId="0" applyNumberFormat="1" applyFont="1" applyFill="1" applyBorder="1" applyAlignment="1">
      <alignment horizontal="center" vertical="top"/>
    </xf>
    <xf numFmtId="49" fontId="30" fillId="13" borderId="20" xfId="0" applyNumberFormat="1" applyFont="1" applyFill="1" applyBorder="1" applyAlignment="1">
      <alignment horizontal="left" vertical="center"/>
    </xf>
    <xf numFmtId="49" fontId="30" fillId="13" borderId="8"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2"/>
    </xf>
    <xf numFmtId="49" fontId="30" fillId="13" borderId="20" xfId="0" applyNumberFormat="1" applyFont="1" applyFill="1" applyBorder="1" applyAlignment="1">
      <alignment horizontal="left" vertical="center"/>
    </xf>
    <xf numFmtId="49" fontId="34" fillId="13" borderId="6" xfId="0" applyNumberFormat="1" applyFont="1" applyFill="1" applyBorder="1" applyAlignment="1">
      <alignment horizontal="center" vertical="top"/>
    </xf>
    <xf numFmtId="49" fontId="0" fillId="0" borderId="0" xfId="0" applyNumberFormat="1" applyFont="1">
      <alignment vertical="top"/>
    </xf>
    <xf numFmtId="0" fontId="0" fillId="0" borderId="0" xfId="0" applyNumberFormat="1" applyFont="1" applyAlignment="1">
      <alignment vertical="center"/>
    </xf>
    <xf numFmtId="0" fontId="6"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0" xfId="0" applyNumberFormat="1" applyFont="1" applyAlignment="1">
      <alignment horizontal="center" vertical="center"/>
    </xf>
    <xf numFmtId="0" fontId="36" fillId="0" borderId="0" xfId="0" applyNumberFormat="1" applyFont="1" applyAlignment="1">
      <alignment horizontal="left" vertical="center" wrapText="1"/>
    </xf>
    <xf numFmtId="49" fontId="6" fillId="0" borderId="0" xfId="0" applyNumberFormat="1" applyFont="1" applyAlignment="1">
      <alignment vertical="center" wrapText="1"/>
    </xf>
    <xf numFmtId="49" fontId="6" fillId="0" borderId="0" xfId="0" applyNumberFormat="1" applyFont="1">
      <alignment vertical="top"/>
    </xf>
    <xf numFmtId="49" fontId="6" fillId="0" borderId="17" xfId="0" applyNumberFormat="1" applyFont="1" applyBorder="1">
      <alignment vertical="top"/>
    </xf>
    <xf numFmtId="0" fontId="6" fillId="10" borderId="5" xfId="0" applyNumberFormat="1" applyFont="1" applyFill="1" applyBorder="1" applyAlignment="1">
      <alignment horizontal="left" vertical="center" wrapText="1"/>
    </xf>
    <xf numFmtId="0" fontId="6" fillId="0" borderId="5" xfId="0" applyNumberFormat="1" applyFont="1" applyBorder="1" applyAlignment="1">
      <alignment vertical="center" wrapText="1"/>
    </xf>
    <xf numFmtId="0" fontId="6" fillId="0" borderId="5" xfId="0" applyNumberFormat="1" applyFont="1" applyBorder="1" applyAlignment="1">
      <alignment horizontal="left" vertical="center" wrapText="1" indent="6"/>
    </xf>
    <xf numFmtId="0" fontId="35" fillId="0" borderId="5" xfId="0" applyNumberFormat="1" applyFont="1" applyBorder="1" applyAlignment="1">
      <alignment vertical="top" wrapText="1"/>
    </xf>
    <xf numFmtId="0" fontId="37" fillId="0" borderId="0" xfId="0" applyNumberFormat="1" applyFont="1" applyAlignment="1">
      <alignment vertical="center" wrapText="1"/>
    </xf>
    <xf numFmtId="0" fontId="37" fillId="0" borderId="0" xfId="0" applyNumberFormat="1" applyFont="1" applyAlignment="1">
      <alignment vertical="center"/>
    </xf>
    <xf numFmtId="0" fontId="6" fillId="0" borderId="0" xfId="0" applyNumberFormat="1" applyFont="1" applyAlignment="1">
      <alignment horizontal="center" vertical="center" wrapText="1"/>
    </xf>
    <xf numFmtId="0" fontId="32" fillId="10" borderId="0" xfId="0" applyNumberFormat="1" applyFont="1" applyFill="1" applyAlignment="1">
      <alignment horizontal="center" vertical="center" wrapText="1"/>
    </xf>
    <xf numFmtId="0" fontId="6" fillId="0" borderId="17" xfId="0" applyNumberFormat="1" applyFont="1" applyBorder="1" applyAlignment="1">
      <alignment vertical="center" wrapText="1"/>
    </xf>
    <xf numFmtId="0" fontId="6" fillId="10" borderId="5" xfId="0" applyNumberFormat="1" applyFont="1" applyFill="1" applyBorder="1" applyAlignment="1">
      <alignment horizontal="left" vertical="center" wrapText="1" indent="1"/>
    </xf>
    <xf numFmtId="0" fontId="27" fillId="0" borderId="0" xfId="0" applyNumberFormat="1" applyFont="1" applyAlignment="1">
      <alignment vertical="center" wrapText="1"/>
    </xf>
    <xf numFmtId="0" fontId="6" fillId="10" borderId="5" xfId="0" applyNumberFormat="1" applyFont="1" applyFill="1" applyBorder="1" applyAlignment="1">
      <alignment horizontal="left" vertical="center" wrapText="1" indent="2"/>
    </xf>
    <xf numFmtId="49" fontId="36" fillId="0" borderId="0" xfId="0" applyNumberFormat="1" applyFont="1" applyAlignment="1">
      <alignment vertical="center" wrapText="1"/>
    </xf>
    <xf numFmtId="0" fontId="37" fillId="0" borderId="0" xfId="0" applyNumberFormat="1" applyFont="1" applyAlignment="1">
      <alignment horizontal="center" vertical="center" wrapText="1"/>
    </xf>
    <xf numFmtId="0" fontId="37" fillId="0" borderId="17" xfId="0" applyNumberFormat="1" applyFont="1" applyBorder="1" applyAlignment="1">
      <alignment horizontal="center" vertical="center" wrapText="1"/>
    </xf>
    <xf numFmtId="0" fontId="6" fillId="10" borderId="5" xfId="0" applyNumberFormat="1" applyFont="1" applyFill="1" applyBorder="1" applyAlignment="1">
      <alignment horizontal="left" vertical="center" wrapText="1" indent="4"/>
    </xf>
    <xf numFmtId="0" fontId="37" fillId="0" borderId="17" xfId="0" applyNumberFormat="1" applyFont="1" applyBorder="1" applyAlignment="1">
      <alignment vertical="center" wrapText="1"/>
    </xf>
    <xf numFmtId="0" fontId="6" fillId="10" borderId="5" xfId="0" applyNumberFormat="1" applyFont="1" applyFill="1" applyBorder="1" applyAlignment="1">
      <alignment horizontal="left" vertical="center" wrapText="1" indent="5"/>
    </xf>
    <xf numFmtId="0" fontId="35" fillId="0" borderId="10" xfId="0" applyNumberFormat="1" applyFont="1" applyBorder="1" applyAlignment="1">
      <alignment vertical="top" wrapText="1"/>
    </xf>
    <xf numFmtId="49" fontId="6" fillId="12" borderId="5" xfId="0" applyNumberFormat="1" applyFont="1" applyFill="1" applyBorder="1" applyAlignment="1" applyProtection="1">
      <alignment horizontal="left" vertical="center" wrapText="1" indent="6"/>
      <protection locked="0"/>
    </xf>
    <xf numFmtId="4" fontId="6" fillId="12" borderId="5" xfId="0" applyNumberFormat="1" applyFont="1" applyFill="1" applyBorder="1" applyAlignment="1" applyProtection="1">
      <alignment horizontal="right" vertical="center" wrapText="1"/>
      <protection locked="0"/>
    </xf>
    <xf numFmtId="4" fontId="6" fillId="0" borderId="30" xfId="0" applyNumberFormat="1" applyFont="1" applyBorder="1" applyAlignment="1">
      <alignment horizontal="right" vertical="center" wrapText="1"/>
    </xf>
    <xf numFmtId="49" fontId="6" fillId="0" borderId="5" xfId="0" applyNumberFormat="1" applyFont="1" applyBorder="1" applyAlignment="1">
      <alignment horizontal="left" vertical="center" wrapText="1"/>
    </xf>
    <xf numFmtId="4" fontId="6" fillId="0" borderId="5" xfId="0" applyNumberFormat="1" applyFont="1" applyBorder="1" applyAlignment="1">
      <alignment horizontal="right" vertical="center" wrapText="1"/>
    </xf>
    <xf numFmtId="4" fontId="6" fillId="0" borderId="23" xfId="0" applyNumberFormat="1" applyFont="1" applyBorder="1" applyAlignment="1">
      <alignment horizontal="right"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29" fillId="0" borderId="0" xfId="0" applyNumberFormat="1" applyFont="1">
      <alignment vertical="top"/>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0" fontId="37" fillId="0" borderId="0" xfId="0" applyNumberFormat="1" applyFont="1" applyAlignment="1">
      <alignment horizontal="left" vertical="center" indent="1"/>
    </xf>
    <xf numFmtId="0" fontId="37" fillId="0" borderId="0" xfId="0" applyNumberFormat="1" applyFont="1" applyAlignment="1">
      <alignment horizontal="center" vertical="center"/>
    </xf>
    <xf numFmtId="49" fontId="37" fillId="0" borderId="0" xfId="0" applyNumberFormat="1" applyFont="1" applyAlignment="1">
      <alignment horizontal="left" vertical="center"/>
    </xf>
    <xf numFmtId="49" fontId="37" fillId="0" borderId="0" xfId="0" applyNumberFormat="1" applyFont="1">
      <alignment vertical="top"/>
    </xf>
    <xf numFmtId="49" fontId="94" fillId="0" borderId="0" xfId="0" applyNumberFormat="1" applyFont="1">
      <alignment vertical="top"/>
    </xf>
    <xf numFmtId="49" fontId="84" fillId="0" borderId="0" xfId="0" applyNumberFormat="1" applyFont="1" applyAlignment="1">
      <alignment horizontal="left" vertical="center"/>
    </xf>
    <xf numFmtId="49" fontId="37" fillId="0" borderId="0" xfId="0" applyNumberFormat="1" applyFont="1" applyAlignment="1">
      <alignment horizontal="left" vertical="center" indent="1"/>
    </xf>
    <xf numFmtId="49" fontId="37" fillId="0" borderId="0" xfId="0" applyNumberFormat="1" applyFont="1" applyAlignment="1">
      <alignment horizontal="center" vertical="center" wrapText="1"/>
    </xf>
    <xf numFmtId="49" fontId="37" fillId="0" borderId="0" xfId="26" applyNumberFormat="1" applyFont="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5"/>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4"/>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22" xfId="0" applyNumberFormat="1" applyFont="1" applyFill="1" applyBorder="1" applyAlignment="1">
      <alignment horizontal="center" vertical="center" wrapText="1"/>
    </xf>
    <xf numFmtId="49" fontId="60" fillId="13" borderId="7"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3"/>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26"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6" xfId="0" applyNumberFormat="1" applyFont="1" applyFill="1" applyBorder="1" applyAlignment="1">
      <alignment horizontal="center" vertical="center" wrapText="1"/>
    </xf>
    <xf numFmtId="0" fontId="6" fillId="0" borderId="0" xfId="0" applyNumberFormat="1" applyFont="1" applyAlignment="1">
      <alignment vertical="top" wrapText="1"/>
    </xf>
    <xf numFmtId="0" fontId="0" fillId="0" borderId="6" xfId="0" applyNumberFormat="1" applyFont="1" applyBorder="1" applyAlignment="1">
      <alignment horizontal="center" vertical="center" wrapText="1"/>
    </xf>
    <xf numFmtId="170" fontId="0" fillId="15" borderId="6" xfId="0" applyNumberFormat="1" applyFont="1" applyFill="1" applyBorder="1" applyAlignment="1" applyProtection="1">
      <alignment horizontal="left" vertical="center" wrapText="1"/>
      <protection locked="0"/>
    </xf>
    <xf numFmtId="170" fontId="0" fillId="15" borderId="7" xfId="0" applyNumberFormat="1" applyFont="1" applyFill="1" applyBorder="1" applyAlignment="1" applyProtection="1">
      <alignment horizontal="left" vertical="center" wrapText="1"/>
      <protection locked="0"/>
    </xf>
    <xf numFmtId="0" fontId="6" fillId="16" borderId="5" xfId="0" applyNumberFormat="1" applyFont="1" applyFill="1" applyBorder="1" applyAlignment="1">
      <alignment horizontal="left" vertical="center" wrapText="1"/>
    </xf>
    <xf numFmtId="0" fontId="0" fillId="0" borderId="29" xfId="0" applyNumberFormat="1" applyFont="1" applyBorder="1" applyAlignment="1">
      <alignment horizontal="center" vertical="center" wrapText="1"/>
    </xf>
    <xf numFmtId="0" fontId="58" fillId="0" borderId="0" xfId="0" applyNumberFormat="1" applyFont="1" applyAlignment="1">
      <alignment vertical="center" wrapText="1"/>
    </xf>
    <xf numFmtId="0" fontId="6" fillId="0" borderId="0" xfId="0" applyNumberFormat="1" applyFont="1" applyAlignment="1">
      <alignment vertical="center" wrapText="1"/>
    </xf>
    <xf numFmtId="49" fontId="30" fillId="13" borderId="20" xfId="0" applyNumberFormat="1" applyFont="1" applyFill="1" applyBorder="1" applyAlignment="1">
      <alignment horizontal="left" vertical="center"/>
    </xf>
    <xf numFmtId="49" fontId="30" fillId="13" borderId="8"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2"/>
    </xf>
    <xf numFmtId="49" fontId="30" fillId="13" borderId="20" xfId="0" applyNumberFormat="1" applyFont="1" applyFill="1" applyBorder="1" applyAlignment="1">
      <alignment horizontal="left" vertical="center"/>
    </xf>
    <xf numFmtId="49" fontId="34" fillId="13" borderId="6" xfId="0" applyNumberFormat="1" applyFont="1" applyFill="1" applyBorder="1" applyAlignment="1">
      <alignment horizontal="center" vertical="top"/>
    </xf>
    <xf numFmtId="4" fontId="0" fillId="15" borderId="5" xfId="0" applyNumberFormat="1" applyFont="1" applyFill="1" applyBorder="1" applyAlignment="1" applyProtection="1">
      <alignment horizontal="right" vertical="center" wrapText="1"/>
      <protection locked="0"/>
    </xf>
    <xf numFmtId="49" fontId="30" fillId="13" borderId="20" xfId="0" applyNumberFormat="1" applyFont="1" applyFill="1" applyBorder="1" applyAlignment="1">
      <alignment horizontal="left" vertical="center"/>
    </xf>
    <xf numFmtId="49" fontId="30" fillId="13" borderId="8"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2"/>
    </xf>
    <xf numFmtId="49" fontId="30" fillId="13" borderId="20" xfId="0" applyNumberFormat="1" applyFont="1" applyFill="1" applyBorder="1" applyAlignment="1">
      <alignment horizontal="left" vertical="center"/>
    </xf>
    <xf numFmtId="49" fontId="34" fillId="13" borderId="6" xfId="0" applyNumberFormat="1" applyFont="1" applyFill="1" applyBorder="1" applyAlignment="1">
      <alignment horizontal="center" vertical="top"/>
    </xf>
    <xf numFmtId="49" fontId="30" fillId="13" borderId="20" xfId="0" applyNumberFormat="1" applyFont="1" applyFill="1" applyBorder="1" applyAlignment="1">
      <alignment horizontal="left" vertical="center"/>
    </xf>
    <xf numFmtId="49" fontId="30" fillId="13" borderId="8"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2"/>
    </xf>
    <xf numFmtId="49" fontId="30" fillId="13" borderId="20" xfId="0" applyNumberFormat="1" applyFont="1" applyFill="1" applyBorder="1" applyAlignment="1">
      <alignment horizontal="left" vertical="center"/>
    </xf>
    <xf numFmtId="49" fontId="34" fillId="13" borderId="6" xfId="0" applyNumberFormat="1" applyFont="1" applyFill="1" applyBorder="1" applyAlignment="1">
      <alignment horizontal="center" vertical="top"/>
    </xf>
    <xf numFmtId="49" fontId="30" fillId="13" borderId="20" xfId="0" applyNumberFormat="1" applyFont="1" applyFill="1" applyBorder="1" applyAlignment="1">
      <alignment horizontal="left" vertical="center"/>
    </xf>
    <xf numFmtId="49" fontId="30" fillId="13" borderId="8"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2"/>
    </xf>
    <xf numFmtId="49" fontId="30" fillId="13" borderId="20" xfId="0" applyNumberFormat="1" applyFont="1" applyFill="1" applyBorder="1" applyAlignment="1">
      <alignment horizontal="left" vertical="center"/>
    </xf>
    <xf numFmtId="49" fontId="34" fillId="13" borderId="6" xfId="0" applyNumberFormat="1" applyFont="1" applyFill="1" applyBorder="1" applyAlignment="1">
      <alignment horizontal="center" vertical="top"/>
    </xf>
    <xf numFmtId="49" fontId="30" fillId="13" borderId="20" xfId="0" applyNumberFormat="1" applyFont="1" applyFill="1" applyBorder="1" applyAlignment="1">
      <alignment horizontal="left" vertical="center"/>
    </xf>
    <xf numFmtId="49" fontId="30" fillId="13" borderId="8" xfId="0" applyNumberFormat="1" applyFont="1" applyFill="1" applyBorder="1" applyAlignment="1">
      <alignment horizontal="left" vertical="center"/>
    </xf>
    <xf numFmtId="49" fontId="30" fillId="13" borderId="8" xfId="0" applyNumberFormat="1" applyFont="1" applyFill="1" applyBorder="1" applyAlignment="1">
      <alignment horizontal="left" vertical="center" indent="2"/>
    </xf>
    <xf numFmtId="49" fontId="30" fillId="13" borderId="20" xfId="0" applyNumberFormat="1" applyFont="1" applyFill="1" applyBorder="1" applyAlignment="1">
      <alignment horizontal="left" vertical="center"/>
    </xf>
    <xf numFmtId="49" fontId="34" fillId="13" borderId="6" xfId="0" applyNumberFormat="1" applyFont="1" applyFill="1" applyBorder="1" applyAlignment="1">
      <alignment horizontal="center" vertical="top"/>
    </xf>
    <xf numFmtId="49" fontId="6" fillId="15" borderId="5"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49" fontId="112"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xf numFmtId="0" fontId="20" fillId="0" borderId="0" xfId="0" applyNumberFormat="1" applyFont="1" applyAlignment="1"/>
    <xf numFmtId="0" fontId="50" fillId="0" borderId="0" xfId="0" applyNumberFormat="1" applyFont="1" applyAlignment="1">
      <alignment vertical="center" wrapText="1"/>
    </xf>
    <xf numFmtId="0" fontId="22" fillId="0" borderId="0" xfId="0" applyNumberFormat="1" applyFont="1" applyAlignment="1">
      <alignment vertical="center" wrapText="1"/>
    </xf>
    <xf numFmtId="0" fontId="47" fillId="0" borderId="0" xfId="0" applyNumberFormat="1" applyFont="1" applyAlignment="1">
      <alignment vertical="center" wrapText="1"/>
    </xf>
    <xf numFmtId="0" fontId="6" fillId="0" borderId="0" xfId="0" applyNumberFormat="1" applyFont="1" applyAlignment="1">
      <alignment vertical="center" wrapText="1"/>
    </xf>
    <xf numFmtId="0" fontId="47" fillId="0" borderId="0" xfId="0" applyNumberFormat="1" applyFont="1" applyAlignment="1">
      <alignment vertical="center" wrapText="1"/>
    </xf>
    <xf numFmtId="170" fontId="0" fillId="15" borderId="5" xfId="0" applyNumberFormat="1" applyFont="1" applyFill="1" applyBorder="1" applyAlignment="1" applyProtection="1">
      <alignment horizontal="left" vertical="center" wrapText="1" indent="1"/>
      <protection locked="0"/>
    </xf>
    <xf numFmtId="0" fontId="6" fillId="0" borderId="0" xfId="0" applyNumberFormat="1" applyFont="1" applyAlignment="1">
      <alignment vertical="center" wrapText="1"/>
    </xf>
    <xf numFmtId="0" fontId="78" fillId="0" borderId="0" xfId="0" applyNumberFormat="1" applyFont="1" applyAlignment="1">
      <alignment horizontal="left" vertical="center" wrapText="1"/>
    </xf>
    <xf numFmtId="0" fontId="22" fillId="0" borderId="0" xfId="0" applyNumberFormat="1" applyFont="1" applyAlignment="1">
      <alignment horizontal="left" vertical="center" wrapText="1"/>
    </xf>
    <xf numFmtId="0" fontId="23"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0" fontId="36" fillId="0" borderId="0" xfId="0" applyNumberFormat="1" applyFont="1" applyAlignment="1">
      <alignment vertical="center" wrapText="1"/>
    </xf>
    <xf numFmtId="0" fontId="37" fillId="0" borderId="0" xfId="0" applyNumberFormat="1" applyFont="1" applyAlignment="1">
      <alignment vertical="center" wrapText="1"/>
    </xf>
    <xf numFmtId="0" fontId="43" fillId="0" borderId="0" xfId="0" applyNumberFormat="1" applyFont="1" applyAlignment="1">
      <alignment vertical="center" wrapText="1"/>
    </xf>
    <xf numFmtId="0" fontId="32" fillId="0" borderId="0" xfId="0" applyNumberFormat="1" applyFont="1" applyAlignment="1">
      <alignment vertical="center" wrapText="1"/>
    </xf>
    <xf numFmtId="0" fontId="32" fillId="0" borderId="0" xfId="0" applyNumberFormat="1" applyFont="1" applyAlignment="1">
      <alignment vertical="center" wrapText="1"/>
    </xf>
    <xf numFmtId="49" fontId="0" fillId="0" borderId="0" xfId="0" applyNumberFormat="1" applyFont="1">
      <alignment vertical="top"/>
    </xf>
    <xf numFmtId="0" fontId="35" fillId="0" borderId="0" xfId="0" applyNumberFormat="1" applyFont="1" applyAlignment="1">
      <alignment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0" xfId="0" applyNumberFormat="1" applyFont="1" applyAlignment="1">
      <alignment vertical="center" wrapText="1"/>
    </xf>
    <xf numFmtId="0" fontId="37" fillId="0" borderId="0" xfId="0" applyNumberFormat="1" applyFont="1" applyAlignment="1">
      <alignment vertical="center"/>
    </xf>
    <xf numFmtId="0" fontId="37" fillId="0" borderId="0" xfId="0" applyNumberFormat="1" applyFont="1" applyAlignment="1">
      <alignment vertical="center"/>
    </xf>
    <xf numFmtId="0" fontId="42" fillId="0" borderId="0" xfId="0" applyNumberFormat="1" applyFont="1" applyAlignment="1">
      <alignment vertical="center"/>
    </xf>
    <xf numFmtId="0" fontId="31" fillId="0" borderId="0" xfId="0" applyNumberFormat="1" applyFont="1" applyAlignment="1">
      <alignment vertical="center"/>
    </xf>
    <xf numFmtId="0" fontId="3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6" fillId="0" borderId="0" xfId="0" applyNumberFormat="1" applyFont="1" applyAlignment="1">
      <alignment vertical="center"/>
    </xf>
    <xf numFmtId="0" fontId="37" fillId="0" borderId="0" xfId="0" applyNumberFormat="1" applyFont="1" applyAlignment="1">
      <alignment vertical="center"/>
    </xf>
    <xf numFmtId="0" fontId="6" fillId="0" borderId="0" xfId="0" applyNumberFormat="1" applyFont="1" applyAlignment="1">
      <alignment vertical="center"/>
    </xf>
    <xf numFmtId="0" fontId="31" fillId="0" borderId="0" xfId="0" applyNumberFormat="1" applyFont="1" applyAlignment="1">
      <alignment vertical="center"/>
    </xf>
    <xf numFmtId="0" fontId="54"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7"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6" fillId="0" borderId="0" xfId="0" applyNumberFormat="1" applyFont="1" applyAlignment="1">
      <alignment vertical="center"/>
    </xf>
    <xf numFmtId="49" fontId="37" fillId="0" borderId="0" xfId="0" applyNumberFormat="1" applyFont="1">
      <alignment vertical="top"/>
    </xf>
    <xf numFmtId="49" fontId="37" fillId="0" borderId="0" xfId="0" applyNumberFormat="1" applyFont="1" applyAlignment="1">
      <alignment horizontal="center" vertical="center"/>
    </xf>
    <xf numFmtId="49" fontId="54" fillId="0" borderId="0" xfId="0" applyNumberFormat="1" applyFont="1">
      <alignment vertical="top"/>
    </xf>
    <xf numFmtId="0" fontId="32" fillId="0" borderId="0" xfId="0" applyNumberFormat="1" applyFont="1" applyAlignment="1">
      <alignment vertical="center" wrapText="1"/>
    </xf>
    <xf numFmtId="49" fontId="0" fillId="0" borderId="0" xfId="0" applyNumberFormat="1" applyFont="1">
      <alignment vertical="top"/>
    </xf>
    <xf numFmtId="49" fontId="22" fillId="0" borderId="0" xfId="0" applyNumberFormat="1" applyFont="1">
      <alignment vertical="top"/>
    </xf>
    <xf numFmtId="0" fontId="48" fillId="10" borderId="0" xfId="0" applyNumberFormat="1" applyFont="1" applyFill="1" applyAlignment="1"/>
    <xf numFmtId="0" fontId="37" fillId="10" borderId="0" xfId="0" applyNumberFormat="1" applyFont="1" applyFill="1" applyAlignment="1"/>
    <xf numFmtId="0" fontId="63"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5" fillId="0" borderId="0" xfId="0" applyNumberFormat="1" applyFont="1" applyAlignment="1">
      <alignment vertical="center" wrapText="1"/>
    </xf>
    <xf numFmtId="0" fontId="47" fillId="0" borderId="0" xfId="0" applyNumberFormat="1" applyFont="1" applyAlignment="1">
      <alignment vertical="center" wrapText="1"/>
    </xf>
    <xf numFmtId="0" fontId="59"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27" fillId="0" borderId="0" xfId="0" applyNumberFormat="1" applyFont="1" applyAlignment="1">
      <alignment horizontal="center" vertical="center" wrapText="1"/>
    </xf>
    <xf numFmtId="0" fontId="6" fillId="0" borderId="0" xfId="0" applyNumberFormat="1" applyFont="1" applyAlignment="1">
      <alignment vertical="center" wrapText="1"/>
    </xf>
    <xf numFmtId="0" fontId="32" fillId="0" borderId="0" xfId="0" applyNumberFormat="1" applyFont="1" applyAlignment="1">
      <alignment vertical="center" wrapText="1"/>
    </xf>
    <xf numFmtId="0" fontId="37" fillId="0" borderId="0" xfId="0" applyNumberFormat="1" applyFont="1" applyAlignment="1">
      <alignment vertical="center" wrapText="1"/>
    </xf>
    <xf numFmtId="0" fontId="6" fillId="0" borderId="0" xfId="0" applyNumberFormat="1" applyFont="1" applyAlignment="1">
      <alignment vertical="center" wrapText="1"/>
    </xf>
    <xf numFmtId="0" fontId="75" fillId="0" borderId="0" xfId="0" applyNumberFormat="1" applyFont="1" applyAlignment="1">
      <alignment vertical="center" wrapText="1"/>
    </xf>
    <xf numFmtId="0" fontId="47" fillId="0" borderId="0" xfId="0" applyNumberFormat="1" applyFont="1" applyAlignment="1">
      <alignmen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6" fillId="0" borderId="0" xfId="0" applyNumberFormat="1" applyFont="1" applyAlignment="1">
      <alignment vertical="center" wrapText="1"/>
    </xf>
    <xf numFmtId="0" fontId="0" fillId="0" borderId="0" xfId="0" applyNumberFormat="1" applyFont="1" applyAlignment="1">
      <alignment vertical="center"/>
    </xf>
    <xf numFmtId="0" fontId="37" fillId="0" borderId="0" xfId="0" applyNumberFormat="1" applyFont="1" applyAlignment="1">
      <alignment vertical="center" wrapText="1"/>
    </xf>
    <xf numFmtId="0" fontId="36" fillId="0" borderId="0" xfId="0" applyNumberFormat="1" applyFont="1" applyAlignment="1">
      <alignment horizontal="center" vertical="center" wrapText="1"/>
    </xf>
    <xf numFmtId="49" fontId="36" fillId="0" borderId="0" xfId="0" applyNumberFormat="1" applyFont="1" applyAlignment="1">
      <alignment vertical="center" wrapText="1"/>
    </xf>
    <xf numFmtId="49" fontId="6" fillId="0" borderId="0" xfId="0" applyNumberFormat="1" applyFont="1" applyAlignment="1">
      <alignment vertical="center" wrapText="1"/>
    </xf>
    <xf numFmtId="0" fontId="29"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7" fillId="0" borderId="0" xfId="0" applyNumberFormat="1" applyFont="1" applyAlignment="1">
      <alignment vertical="center" wrapText="1"/>
    </xf>
    <xf numFmtId="0" fontId="36" fillId="0" borderId="0" xfId="0" applyNumberFormat="1" applyFont="1" applyAlignment="1">
      <alignment vertical="center" wrapText="1"/>
    </xf>
    <xf numFmtId="0" fontId="59" fillId="0" borderId="0" xfId="0" applyNumberFormat="1" applyFont="1" applyAlignment="1">
      <alignment vertical="center" wrapText="1"/>
    </xf>
    <xf numFmtId="0" fontId="37"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xf>
    <xf numFmtId="0" fontId="6" fillId="0" borderId="0" xfId="0" applyNumberFormat="1" applyFont="1" applyAlignment="1">
      <alignment horizontal="center" vertical="center" wrapText="1"/>
    </xf>
    <xf numFmtId="0" fontId="36" fillId="0" borderId="0" xfId="0" applyNumberFormat="1" applyFont="1" applyAlignment="1">
      <alignment horizontal="left" vertical="center"/>
    </xf>
    <xf numFmtId="0" fontId="56" fillId="0" borderId="0" xfId="0" applyNumberFormat="1" applyFont="1" applyAlignment="1">
      <alignment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0" fontId="3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wrapText="1"/>
    </xf>
    <xf numFmtId="4" fontId="6" fillId="12" borderId="5" xfId="0" applyNumberFormat="1" applyFont="1" applyFill="1" applyBorder="1" applyAlignment="1" applyProtection="1">
      <alignment horizontal="right" vertical="center" wrapText="1"/>
      <protection locked="0"/>
    </xf>
    <xf numFmtId="4" fontId="6" fillId="0" borderId="5" xfId="0" applyNumberFormat="1" applyFont="1" applyBorder="1" applyAlignment="1">
      <alignment horizontal="right"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37" fillId="0" borderId="0" xfId="0" applyNumberFormat="1" applyFont="1" applyAlignment="1">
      <alignment horizontal="center" vertical="center" wrapText="1"/>
    </xf>
    <xf numFmtId="0" fontId="36" fillId="0" borderId="0" xfId="0" applyNumberFormat="1" applyFont="1" applyAlignment="1">
      <alignment vertical="center" wrapText="1"/>
    </xf>
    <xf numFmtId="49" fontId="36" fillId="0" borderId="5" xfId="0" applyNumberFormat="1" applyFont="1" applyBorder="1" applyAlignment="1">
      <alignment vertical="center" wrapText="1"/>
    </xf>
    <xf numFmtId="0" fontId="36" fillId="0" borderId="0" xfId="0" applyNumberFormat="1" applyFont="1" applyAlignment="1">
      <alignment vertical="center"/>
    </xf>
    <xf numFmtId="0" fontId="6" fillId="0" borderId="12" xfId="0" applyNumberFormat="1" applyFont="1" applyBorder="1" applyAlignment="1">
      <alignment horizontal="left" vertical="top" wrapText="1" indent="1"/>
    </xf>
    <xf numFmtId="0" fontId="6" fillId="0" borderId="20" xfId="0" applyNumberFormat="1" applyFont="1" applyBorder="1" applyAlignment="1">
      <alignment horizontal="left" vertical="center" wrapText="1" indent="1"/>
    </xf>
    <xf numFmtId="0" fontId="18" fillId="10" borderId="0" xfId="0" applyNumberFormat="1" applyFont="1" applyFill="1" applyAlignment="1">
      <alignment horizontal="center" vertical="center" wrapText="1"/>
    </xf>
    <xf numFmtId="0" fontId="37" fillId="0" borderId="0" xfId="0" applyNumberFormat="1" applyFont="1" applyAlignment="1">
      <alignment vertical="center" wrapText="1"/>
    </xf>
    <xf numFmtId="49" fontId="6" fillId="10" borderId="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7" fillId="10" borderId="0" xfId="0" applyNumberFormat="1" applyFont="1" applyFill="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49" fontId="0" fillId="0" borderId="0" xfId="0" applyNumberFormat="1" applyFont="1">
      <alignment vertical="top"/>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6" fillId="13" borderId="8" xfId="0" applyNumberFormat="1" applyFont="1" applyFill="1" applyBorder="1" applyAlignment="1">
      <alignment horizontal="center" vertical="center" wrapText="1"/>
    </xf>
    <xf numFmtId="49" fontId="0" fillId="13" borderId="8" xfId="0" applyNumberFormat="1" applyFont="1" applyFill="1" applyBorder="1" applyAlignment="1">
      <alignment horizontal="center" vertical="center" wrapText="1"/>
    </xf>
    <xf numFmtId="0" fontId="50" fillId="0" borderId="0" xfId="0" applyNumberFormat="1" applyFont="1" applyAlignment="1">
      <alignment vertical="center" wrapText="1"/>
    </xf>
    <xf numFmtId="0" fontId="50" fillId="0" borderId="0" xfId="0" applyNumberFormat="1" applyFont="1" applyAlignment="1">
      <alignment vertical="center" wrapText="1"/>
    </xf>
    <xf numFmtId="49" fontId="0" fillId="0" borderId="0" xfId="0" applyNumberFormat="1" applyFont="1">
      <alignment vertical="top"/>
    </xf>
    <xf numFmtId="0" fontId="22" fillId="0" borderId="0" xfId="0" applyNumberFormat="1" applyFont="1" applyAlignment="1">
      <alignment vertical="center" wrapTex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49" fontId="78" fillId="0" borderId="0" xfId="0" applyNumberFormat="1" applyFont="1" applyAlignment="1">
      <alignment horizontal="center" vertical="center" wrapText="1"/>
    </xf>
    <xf numFmtId="0" fontId="6" fillId="0" borderId="0" xfId="0" applyNumberFormat="1" applyFont="1" applyAlignment="1">
      <alignment vertical="center" wrapText="1"/>
    </xf>
    <xf numFmtId="0" fontId="41" fillId="0" borderId="0" xfId="0" applyNumberFormat="1" applyFont="1" applyAlignment="1">
      <alignment vertical="center" wrapText="1"/>
    </xf>
    <xf numFmtId="0" fontId="6" fillId="0" borderId="0" xfId="0" applyNumberFormat="1" applyFont="1" applyAlignment="1">
      <alignment vertical="center" wrapText="1"/>
    </xf>
    <xf numFmtId="49" fontId="22" fillId="0" borderId="0" xfId="0" applyNumberFormat="1" applyFont="1" applyAlignment="1">
      <alignment horizontal="center" vertical="center" wrapText="1"/>
    </xf>
    <xf numFmtId="0" fontId="37"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70"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22" fillId="0" borderId="0" xfId="0" applyNumberFormat="1" applyFont="1" applyAlignment="1">
      <alignment vertical="center" wrapText="1"/>
    </xf>
    <xf numFmtId="49" fontId="36" fillId="0" borderId="0" xfId="0" applyNumberFormat="1" applyFont="1" applyAlignment="1">
      <alignment horizontal="center" vertical="center" wrapText="1"/>
    </xf>
    <xf numFmtId="49" fontId="35" fillId="0" borderId="0" xfId="0" applyNumberFormat="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5" fillId="0" borderId="0" xfId="0" applyNumberFormat="1" applyFont="1" applyAlignment="1">
      <alignment vertical="center"/>
    </xf>
    <xf numFmtId="49" fontId="35" fillId="0" borderId="0" xfId="0" applyNumberFormat="1" applyFont="1" applyAlignment="1">
      <alignment vertical="center" wrapText="1"/>
    </xf>
    <xf numFmtId="49" fontId="35" fillId="0" borderId="0" xfId="0" applyNumberFormat="1" applyFont="1" applyAlignment="1">
      <alignment vertical="center" wrapText="1"/>
    </xf>
    <xf numFmtId="49" fontId="86" fillId="0" borderId="0" xfId="0" applyNumberFormat="1" applyFont="1" applyAlignment="1">
      <alignmen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6" fillId="0" borderId="0" xfId="0" applyNumberFormat="1" applyFont="1" applyAlignment="1">
      <alignment vertical="center" wrapText="1"/>
    </xf>
    <xf numFmtId="0" fontId="29"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9" fontId="6" fillId="0" borderId="0" xfId="0" applyNumberFormat="1" applyFont="1" applyAlignment="1">
      <alignment vertical="top" wrapText="1"/>
    </xf>
    <xf numFmtId="0" fontId="6" fillId="0" borderId="0" xfId="0" applyNumberFormat="1" applyFont="1" applyAlignment="1">
      <alignment vertical="top" wrapText="1"/>
    </xf>
    <xf numFmtId="0" fontId="6" fillId="0" borderId="0" xfId="0" applyNumberFormat="1" applyFont="1" applyAlignment="1">
      <alignment vertical="center" wrapText="1"/>
    </xf>
    <xf numFmtId="0" fontId="37" fillId="0" borderId="0" xfId="0" applyNumberFormat="1" applyFont="1" applyAlignment="1">
      <alignment vertical="center"/>
    </xf>
    <xf numFmtId="49" fontId="6" fillId="0" borderId="0" xfId="0" applyNumberFormat="1" applyFont="1" applyAlignment="1">
      <alignment vertical="center"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6" fillId="0" borderId="0" xfId="0" applyNumberFormat="1" applyFont="1">
      <alignment vertical="top"/>
    </xf>
    <xf numFmtId="0" fontId="54" fillId="10" borderId="0" xfId="0" applyNumberFormat="1" applyFont="1" applyFill="1" applyAlignment="1"/>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horizontal="center" vertical="center" wrapText="1"/>
    </xf>
    <xf numFmtId="0" fontId="37" fillId="0" borderId="0" xfId="0" applyNumberFormat="1" applyFont="1" applyAlignment="1">
      <alignment vertical="center"/>
    </xf>
    <xf numFmtId="0" fontId="32" fillId="0" borderId="0" xfId="0" applyNumberFormat="1" applyFont="1" applyAlignment="1">
      <alignment horizontal="center" vertical="center" wrapText="1"/>
    </xf>
    <xf numFmtId="49" fontId="22"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27" fillId="0" borderId="0" xfId="0" applyNumberFormat="1" applyFont="1" applyAlignment="1">
      <alignment horizontal="center" vertical="center"/>
    </xf>
    <xf numFmtId="49" fontId="6" fillId="0" borderId="0" xfId="0" applyNumberFormat="1" applyFont="1">
      <alignment vertical="top"/>
    </xf>
    <xf numFmtId="0" fontId="6" fillId="0" borderId="0" xfId="0" applyNumberFormat="1" applyFont="1" applyAlignment="1"/>
    <xf numFmtId="0" fontId="26" fillId="0" borderId="0" xfId="0" applyNumberFormat="1" applyFont="1" applyAlignment="1">
      <alignment horizontal="center" vertical="center" wrapText="1"/>
    </xf>
    <xf numFmtId="0" fontId="6" fillId="0" borderId="0" xfId="0" applyNumberFormat="1" applyFont="1" applyAlignment="1"/>
    <xf numFmtId="0" fontId="27" fillId="0" borderId="0" xfId="0" applyNumberFormat="1" applyFont="1" applyAlignment="1">
      <alignment horizontal="center" vertical="center"/>
    </xf>
    <xf numFmtId="49" fontId="0" fillId="0" borderId="0" xfId="0" applyNumberFormat="1" applyFont="1">
      <alignment vertical="top"/>
    </xf>
    <xf numFmtId="49" fontId="0" fillId="14" borderId="0" xfId="0" applyNumberFormat="1" applyFont="1" applyFill="1">
      <alignment vertical="top"/>
    </xf>
    <xf numFmtId="0" fontId="32" fillId="0" borderId="0" xfId="0" applyNumberFormat="1" applyFont="1" applyAlignment="1">
      <alignment vertical="center" wrapText="1"/>
    </xf>
    <xf numFmtId="0" fontId="0" fillId="0" borderId="0" xfId="0" applyNumberFormat="1" applyFont="1" applyAlignment="1">
      <alignment vertical="center"/>
    </xf>
    <xf numFmtId="49" fontId="6" fillId="0" borderId="0" xfId="0" applyNumberFormat="1" applyFont="1">
      <alignment vertical="top"/>
    </xf>
    <xf numFmtId="0" fontId="0" fillId="0" borderId="0" xfId="0" applyNumberFormat="1" applyFont="1" applyAlignment="1">
      <alignment vertical="center"/>
    </xf>
    <xf numFmtId="49" fontId="82" fillId="0" borderId="0" xfId="0" applyNumberFormat="1" applyFont="1" applyAlignment="1">
      <alignment vertical="top" wrapText="1"/>
    </xf>
    <xf numFmtId="49" fontId="82" fillId="0" borderId="0" xfId="0" applyNumberFormat="1" applyFont="1">
      <alignment vertical="top"/>
    </xf>
    <xf numFmtId="49" fontId="82" fillId="0" borderId="0" xfId="0" applyNumberFormat="1" applyFont="1" applyAlignment="1">
      <alignment horizontal="center" vertical="top" wrapText="1"/>
    </xf>
    <xf numFmtId="49" fontId="82" fillId="0" borderId="0" xfId="0" applyNumberFormat="1" applyFont="1" applyAlignment="1">
      <alignment horizontal="left" vertical="top" wrapText="1"/>
    </xf>
    <xf numFmtId="49" fontId="82" fillId="7" borderId="0" xfId="0" applyNumberFormat="1" applyFont="1" applyFill="1" applyAlignment="1">
      <alignment horizontal="left" vertical="top" wrapText="1"/>
    </xf>
    <xf numFmtId="0" fontId="82" fillId="0" borderId="0" xfId="0" applyNumberFormat="1" applyFont="1" applyAlignment="1">
      <alignment vertical="top" wrapText="1"/>
    </xf>
    <xf numFmtId="49" fontId="0" fillId="0" borderId="0" xfId="0" applyNumberFormat="1" applyFont="1">
      <alignment vertical="top"/>
    </xf>
    <xf numFmtId="49" fontId="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0"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89" fillId="0" borderId="0" xfId="0" applyNumberFormat="1" applyFont="1" applyAlignment="1">
      <alignment vertical="center" wrapText="1"/>
    </xf>
    <xf numFmtId="0" fontId="89" fillId="0" borderId="0" xfId="0" applyNumberFormat="1" applyFont="1" applyAlignment="1">
      <alignment vertical="center"/>
    </xf>
    <xf numFmtId="0" fontId="5" fillId="30" borderId="59" xfId="0" applyNumberFormat="1" applyFont="1" applyFill="1" applyBorder="1" applyAlignment="1">
      <alignment horizontal="center" vertical="center" wrapText="1"/>
    </xf>
    <xf numFmtId="0" fontId="5" fillId="30" borderId="60" xfId="0" applyNumberFormat="1" applyFont="1" applyFill="1" applyBorder="1" applyAlignment="1">
      <alignment horizontal="center" vertical="center" wrapText="1"/>
    </xf>
    <xf numFmtId="0" fontId="5" fillId="30" borderId="61" xfId="0" applyNumberFormat="1" applyFont="1" applyFill="1" applyBorder="1" applyAlignment="1">
      <alignment horizontal="center" vertical="center" wrapText="1"/>
    </xf>
    <xf numFmtId="0" fontId="5" fillId="21" borderId="31" xfId="0" applyNumberFormat="1" applyFont="1" applyFill="1" applyBorder="1" applyAlignment="1">
      <alignment horizontal="right" vertical="center" wrapText="1" indent="1"/>
    </xf>
    <xf numFmtId="0" fontId="5" fillId="21" borderId="58" xfId="0" applyNumberFormat="1" applyFont="1" applyFill="1" applyBorder="1" applyAlignment="1">
      <alignment horizontal="right" vertical="center" wrapText="1" indent="1"/>
    </xf>
    <xf numFmtId="0" fontId="5" fillId="21" borderId="0" xfId="0" applyNumberFormat="1" applyFont="1" applyFill="1" applyAlignment="1">
      <alignment horizontal="right" vertical="center" wrapText="1" indent="1"/>
    </xf>
    <xf numFmtId="0" fontId="107" fillId="0" borderId="31" xfId="0" applyNumberFormat="1" applyFont="1" applyBorder="1" applyAlignment="1">
      <alignment vertical="center" wrapText="1"/>
    </xf>
    <xf numFmtId="0" fontId="107" fillId="0" borderId="0" xfId="0" applyNumberFormat="1" applyFont="1" applyAlignment="1">
      <alignment vertical="center" wrapText="1"/>
    </xf>
    <xf numFmtId="0" fontId="107" fillId="0" borderId="31" xfId="0" applyNumberFormat="1" applyFont="1" applyBorder="1" applyAlignment="1">
      <alignment horizontal="left" vertical="center" wrapText="1"/>
    </xf>
    <xf numFmtId="0" fontId="107" fillId="0" borderId="0" xfId="0" applyNumberFormat="1" applyFont="1" applyAlignment="1">
      <alignment horizontal="left" vertical="center" wrapText="1"/>
    </xf>
    <xf numFmtId="0" fontId="5" fillId="21" borderId="54" xfId="0" applyNumberFormat="1" applyFont="1" applyFill="1" applyBorder="1" applyAlignment="1">
      <alignment horizontal="right" vertical="center" wrapText="1" indent="1"/>
    </xf>
    <xf numFmtId="0" fontId="5" fillId="21" borderId="57" xfId="0" applyNumberFormat="1" applyFont="1" applyFill="1" applyBorder="1" applyAlignment="1">
      <alignment horizontal="right" vertical="center" wrapText="1" indent="1"/>
    </xf>
    <xf numFmtId="0" fontId="5" fillId="21" borderId="56" xfId="0" applyNumberFormat="1" applyFont="1" applyFill="1" applyBorder="1" applyAlignment="1">
      <alignment horizontal="right" vertical="center" wrapText="1" indent="1"/>
    </xf>
    <xf numFmtId="0" fontId="5" fillId="21" borderId="32" xfId="0" applyNumberFormat="1" applyFont="1" applyFill="1" applyBorder="1" applyAlignment="1">
      <alignment horizontal="right" vertical="center" wrapText="1" indent="1"/>
    </xf>
    <xf numFmtId="0" fontId="107" fillId="0" borderId="0" xfId="0" applyNumberFormat="1" applyFont="1" applyAlignment="1">
      <alignment vertical="top" wrapText="1"/>
    </xf>
    <xf numFmtId="49" fontId="53" fillId="0" borderId="0" xfId="0" applyNumberFormat="1" applyFont="1" applyAlignment="1">
      <alignment vertical="top" wrapText="1"/>
    </xf>
    <xf numFmtId="0" fontId="6" fillId="0" borderId="6"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0" fontId="83" fillId="0" borderId="0" xfId="0" applyNumberFormat="1" applyFont="1" applyAlignment="1">
      <alignment horizontal="left" vertical="center" wrapText="1"/>
    </xf>
    <xf numFmtId="14" fontId="80" fillId="0" borderId="5"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8" xfId="0" applyNumberFormat="1" applyFont="1" applyBorder="1" applyAlignment="1">
      <alignment horizontal="left" vertical="center" wrapText="1" indent="1"/>
    </xf>
    <xf numFmtId="0" fontId="6" fillId="0" borderId="8"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6" fillId="16" borderId="10" xfId="0" applyNumberFormat="1" applyFont="1" applyFill="1" applyBorder="1" applyAlignment="1" applyProtection="1">
      <alignment horizontal="left" vertical="center" wrapText="1" indent="1"/>
      <protection locked="0"/>
    </xf>
    <xf numFmtId="0" fontId="6" fillId="16" borderId="16" xfId="0" applyNumberFormat="1" applyFont="1" applyFill="1" applyBorder="1" applyAlignment="1" applyProtection="1">
      <alignment horizontal="left" vertical="center" wrapText="1" indent="1"/>
      <protection locked="0"/>
    </xf>
    <xf numFmtId="49" fontId="6" fillId="16" borderId="5"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0" fontId="6" fillId="16" borderId="10" xfId="0" applyNumberFormat="1" applyFont="1" applyFill="1" applyBorder="1" applyAlignment="1">
      <alignment horizontal="left" vertical="center" wrapText="1" indent="2"/>
    </xf>
    <xf numFmtId="0" fontId="6" fillId="16" borderId="29" xfId="0" applyNumberFormat="1" applyFont="1" applyFill="1" applyBorder="1" applyAlignment="1">
      <alignment horizontal="left" vertical="center" wrapText="1" indent="2"/>
    </xf>
    <xf numFmtId="0" fontId="6" fillId="16" borderId="16" xfId="0" applyNumberFormat="1" applyFont="1" applyFill="1" applyBorder="1" applyAlignment="1">
      <alignment horizontal="left" vertical="center" wrapText="1" indent="2"/>
    </xf>
    <xf numFmtId="49" fontId="6" fillId="16" borderId="16" xfId="0" applyNumberFormat="1" applyFont="1" applyFill="1" applyBorder="1" applyAlignment="1">
      <alignment horizontal="center" vertical="center" wrapText="1"/>
    </xf>
    <xf numFmtId="14" fontId="68" fillId="0" borderId="66" xfId="0" applyNumberFormat="1" applyFont="1" applyBorder="1" applyAlignment="1">
      <alignment horizontal="center" vertical="center" wrapText="1"/>
    </xf>
    <xf numFmtId="0" fontId="6" fillId="0" borderId="66" xfId="0" applyNumberFormat="1" applyFont="1" applyBorder="1" applyAlignment="1">
      <alignment horizontal="center" vertical="center" wrapText="1"/>
    </xf>
    <xf numFmtId="49" fontId="26" fillId="0" borderId="62" xfId="0" applyNumberFormat="1" applyFont="1" applyBorder="1" applyAlignment="1">
      <alignment horizontal="center" vertical="center" wrapText="1"/>
    </xf>
    <xf numFmtId="49" fontId="26" fillId="0" borderId="63"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6" xfId="0" applyNumberFormat="1" applyFont="1" applyBorder="1" applyAlignment="1">
      <alignment horizontal="center" vertical="center" wrapText="1"/>
    </xf>
    <xf numFmtId="0" fontId="6" fillId="0" borderId="13" xfId="0" applyNumberFormat="1" applyFont="1" applyBorder="1" applyAlignment="1">
      <alignment horizontal="left" vertical="center" wrapText="1" indent="1"/>
    </xf>
    <xf numFmtId="0" fontId="6" fillId="0" borderId="10" xfId="0" applyNumberFormat="1" applyFont="1" applyBorder="1" applyAlignment="1">
      <alignment horizontal="left" vertical="center" wrapText="1" indent="1"/>
    </xf>
    <xf numFmtId="0" fontId="6" fillId="0" borderId="30" xfId="0" applyNumberFormat="1" applyFont="1" applyBorder="1" applyAlignment="1">
      <alignment horizontal="left" vertical="center" wrapText="1" indent="1"/>
    </xf>
    <xf numFmtId="0" fontId="6" fillId="0" borderId="22" xfId="0" applyNumberFormat="1" applyFont="1" applyBorder="1" applyAlignment="1">
      <alignment horizontal="left" vertical="center" indent="1"/>
    </xf>
    <xf numFmtId="0" fontId="6" fillId="0" borderId="16" xfId="0" applyNumberFormat="1" applyFont="1" applyBorder="1" applyAlignment="1">
      <alignment horizontal="left" vertical="center" indent="1"/>
    </xf>
    <xf numFmtId="0" fontId="6" fillId="0" borderId="23" xfId="0" applyNumberFormat="1" applyFont="1" applyBorder="1" applyAlignment="1">
      <alignment horizontal="left" vertical="center" indent="1"/>
    </xf>
    <xf numFmtId="0" fontId="6" fillId="17" borderId="0" xfId="0" applyNumberFormat="1" applyFont="1" applyFill="1" applyAlignment="1">
      <alignment horizontal="center" vertical="center" wrapText="1"/>
    </xf>
    <xf numFmtId="0" fontId="6" fillId="0" borderId="5" xfId="0" applyNumberFormat="1" applyFont="1" applyBorder="1" applyAlignment="1">
      <alignment horizontal="center" vertical="center" wrapText="1"/>
    </xf>
    <xf numFmtId="0" fontId="62" fillId="0" borderId="30" xfId="0" applyNumberFormat="1" applyFont="1" applyBorder="1" applyAlignment="1">
      <alignment horizontal="center" vertical="center" wrapText="1"/>
    </xf>
    <xf numFmtId="0" fontId="62" fillId="0" borderId="12"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2" fillId="0" borderId="5"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0" fontId="0" fillId="0" borderId="5" xfId="0" applyNumberFormat="1" applyFont="1" applyBorder="1" applyAlignment="1">
      <alignment horizontal="center" vertical="top"/>
    </xf>
    <xf numFmtId="49" fontId="0" fillId="0" borderId="5" xfId="0" applyNumberFormat="1" applyFont="1" applyBorder="1">
      <alignment vertical="top"/>
    </xf>
    <xf numFmtId="49" fontId="6" fillId="0" borderId="12"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2"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2" xfId="0" applyNumberFormat="1" applyFont="1" applyBorder="1" applyAlignment="1">
      <alignment horizontal="left" vertical="center" wrapText="1"/>
    </xf>
    <xf numFmtId="0" fontId="6" fillId="0" borderId="5" xfId="0" applyNumberFormat="1" applyFont="1" applyBorder="1" applyAlignment="1">
      <alignment horizontal="left" vertical="top" wrapText="1"/>
    </xf>
    <xf numFmtId="49" fontId="0" fillId="0" borderId="5" xfId="0" applyNumberFormat="1" applyFont="1" applyBorder="1" applyAlignment="1">
      <alignment horizontal="left" vertical="top"/>
    </xf>
    <xf numFmtId="0" fontId="6" fillId="16" borderId="10" xfId="0" applyNumberFormat="1" applyFont="1" applyFill="1" applyBorder="1" applyAlignment="1">
      <alignment horizontal="center" vertical="top" wrapText="1"/>
    </xf>
    <xf numFmtId="0" fontId="6" fillId="16" borderId="29" xfId="0" applyNumberFormat="1" applyFont="1" applyFill="1" applyBorder="1" applyAlignment="1">
      <alignment horizontal="center" vertical="top" wrapText="1"/>
    </xf>
    <xf numFmtId="0" fontId="6" fillId="16" borderId="16" xfId="0" applyNumberFormat="1" applyFont="1" applyFill="1" applyBorder="1" applyAlignment="1">
      <alignment horizontal="center" vertical="top" wrapText="1"/>
    </xf>
    <xf numFmtId="0" fontId="0" fillId="0" borderId="3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0" borderId="12"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2"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5" xfId="0" applyNumberFormat="1" applyFont="1" applyBorder="1" applyAlignment="1">
      <alignment horizontal="center" vertical="center" wrapText="1"/>
    </xf>
    <xf numFmtId="49" fontId="37" fillId="10" borderId="20" xfId="0" applyNumberFormat="1" applyFont="1" applyFill="1" applyBorder="1" applyAlignment="1">
      <alignment horizontal="center" vertical="center" wrapText="1"/>
    </xf>
    <xf numFmtId="0" fontId="6" fillId="0" borderId="13" xfId="0" applyNumberFormat="1" applyFont="1" applyBorder="1" applyAlignment="1">
      <alignment horizontal="left" vertical="top" wrapText="1" indent="1"/>
    </xf>
    <xf numFmtId="0" fontId="6" fillId="0" borderId="10" xfId="0" applyNumberFormat="1" applyFont="1" applyBorder="1" applyAlignment="1">
      <alignment horizontal="left" vertical="top" wrapText="1" indent="1"/>
    </xf>
    <xf numFmtId="0" fontId="6" fillId="0" borderId="30" xfId="0" applyNumberFormat="1" applyFont="1" applyBorder="1" applyAlignment="1">
      <alignment horizontal="left" vertical="top" wrapText="1" indent="1"/>
    </xf>
    <xf numFmtId="0" fontId="59" fillId="0" borderId="17" xfId="0" applyNumberFormat="1" applyFont="1" applyBorder="1" applyAlignment="1">
      <alignment horizontal="left" vertical="center" wrapText="1" indent="1"/>
    </xf>
    <xf numFmtId="0" fontId="59" fillId="0" borderId="29" xfId="0" applyNumberFormat="1" applyFont="1" applyBorder="1" applyAlignment="1">
      <alignment horizontal="left" vertical="center" wrapText="1" indent="1"/>
    </xf>
    <xf numFmtId="0" fontId="59" fillId="0" borderId="15" xfId="0" applyNumberFormat="1" applyFont="1" applyBorder="1" applyAlignment="1">
      <alignment horizontal="left" vertical="center" wrapText="1" indent="1"/>
    </xf>
    <xf numFmtId="0" fontId="6" fillId="0" borderId="20" xfId="0" applyNumberFormat="1" applyFont="1" applyBorder="1" applyAlignment="1">
      <alignment horizontal="left" vertical="center" indent="1"/>
    </xf>
    <xf numFmtId="0" fontId="0" fillId="0" borderId="10" xfId="0" applyNumberFormat="1" applyFont="1" applyBorder="1" applyAlignment="1">
      <alignment horizontal="center" vertical="top"/>
    </xf>
    <xf numFmtId="0" fontId="0" fillId="0" borderId="29" xfId="0" applyNumberFormat="1" applyFont="1" applyBorder="1" applyAlignment="1">
      <alignment horizontal="center" vertical="top"/>
    </xf>
    <xf numFmtId="0" fontId="0" fillId="0" borderId="16" xfId="0" applyNumberFormat="1" applyFont="1" applyBorder="1" applyAlignment="1">
      <alignment horizontal="center" vertical="top"/>
    </xf>
    <xf numFmtId="0" fontId="6" fillId="0" borderId="10" xfId="0" applyNumberFormat="1" applyFont="1" applyBorder="1" applyAlignment="1">
      <alignment horizontal="left" vertical="top" wrapText="1"/>
    </xf>
    <xf numFmtId="0" fontId="6" fillId="0" borderId="29" xfId="0" applyNumberFormat="1" applyFont="1" applyBorder="1" applyAlignment="1">
      <alignment horizontal="left" vertical="top" wrapText="1"/>
    </xf>
    <xf numFmtId="0" fontId="6" fillId="0" borderId="16"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0" fillId="0" borderId="29" xfId="0" applyNumberFormat="1" applyFont="1" applyBorder="1">
      <alignment vertical="top"/>
    </xf>
    <xf numFmtId="49" fontId="0" fillId="0" borderId="29" xfId="0" applyNumberFormat="1" applyFont="1" applyBorder="1" applyAlignment="1">
      <alignment horizontal="left" vertical="top"/>
    </xf>
    <xf numFmtId="0" fontId="6" fillId="16" borderId="5" xfId="0" applyNumberFormat="1" applyFont="1" applyFill="1" applyBorder="1" applyAlignment="1">
      <alignment horizontal="left" vertical="top" wrapText="1"/>
    </xf>
    <xf numFmtId="49" fontId="0" fillId="16" borderId="29" xfId="0" applyNumberFormat="1" applyFont="1" applyFill="1" applyBorder="1" applyAlignment="1">
      <alignment horizontal="left" vertical="top"/>
    </xf>
    <xf numFmtId="49" fontId="0" fillId="16" borderId="5" xfId="0" applyNumberFormat="1" applyFont="1" applyFill="1" applyBorder="1" applyAlignment="1">
      <alignment horizontal="left" vertical="top"/>
    </xf>
    <xf numFmtId="49" fontId="6" fillId="12" borderId="5" xfId="0" applyNumberFormat="1" applyFont="1" applyFill="1" applyBorder="1" applyAlignment="1" applyProtection="1">
      <alignment horizontal="left" vertical="center" wrapText="1"/>
      <protection locked="0"/>
    </xf>
    <xf numFmtId="49" fontId="6" fillId="16" borderId="10" xfId="0" applyNumberFormat="1" applyFont="1" applyFill="1" applyBorder="1" applyAlignment="1">
      <alignment horizontal="center" vertical="center" wrapText="1"/>
    </xf>
    <xf numFmtId="49" fontId="6" fillId="16" borderId="29" xfId="0" applyNumberFormat="1" applyFont="1" applyFill="1" applyBorder="1" applyAlignment="1">
      <alignment horizontal="center" vertical="center" wrapText="1"/>
    </xf>
    <xf numFmtId="49" fontId="0" fillId="15" borderId="5" xfId="0" applyNumberFormat="1" applyFont="1" applyFill="1" applyBorder="1" applyAlignment="1" applyProtection="1">
      <alignment horizontal="left" vertical="center" wrapText="1"/>
      <protection locked="0"/>
    </xf>
    <xf numFmtId="0" fontId="0" fillId="0" borderId="5" xfId="0" applyNumberFormat="1" applyFont="1" applyBorder="1" applyAlignment="1">
      <alignment horizontal="center" vertical="center"/>
    </xf>
    <xf numFmtId="49" fontId="0" fillId="12" borderId="29" xfId="0" applyNumberFormat="1" applyFont="1" applyFill="1" applyBorder="1" applyProtection="1">
      <alignment vertical="top"/>
      <protection locked="0"/>
    </xf>
    <xf numFmtId="49" fontId="0" fillId="12" borderId="5" xfId="0" applyNumberFormat="1" applyFont="1" applyFill="1" applyBorder="1" applyAlignment="1" applyProtection="1">
      <alignment horizontal="left" vertical="top"/>
      <protection locked="0"/>
    </xf>
    <xf numFmtId="49" fontId="37" fillId="0" borderId="5" xfId="0" applyNumberFormat="1" applyFont="1" applyBorder="1" applyAlignment="1">
      <alignment horizontal="center" vertical="center" wrapText="1"/>
    </xf>
    <xf numFmtId="0" fontId="0" fillId="16" borderId="5" xfId="0" applyNumberFormat="1" applyFont="1" applyFill="1" applyBorder="1" applyAlignment="1" applyProtection="1">
      <alignment horizontal="left" vertical="center" wrapText="1"/>
      <protection locked="0"/>
    </xf>
    <xf numFmtId="49" fontId="0" fillId="16" borderId="29" xfId="0" applyNumberFormat="1" applyFont="1" applyFill="1" applyBorder="1" applyAlignment="1" applyProtection="1">
      <alignment horizontal="left" vertical="center" wrapText="1"/>
      <protection locked="0"/>
    </xf>
    <xf numFmtId="49" fontId="0" fillId="16" borderId="5"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lignment horizontal="left" vertical="center" wrapText="1"/>
    </xf>
    <xf numFmtId="0" fontId="6" fillId="0" borderId="10" xfId="0" applyNumberFormat="1" applyFont="1" applyBorder="1" applyAlignment="1">
      <alignment horizontal="center" vertical="center" wrapText="1"/>
    </xf>
    <xf numFmtId="0" fontId="6" fillId="0" borderId="20" xfId="0" applyNumberFormat="1" applyFont="1" applyBorder="1" applyAlignment="1">
      <alignment horizontal="left" vertical="center" wrapText="1" indent="1"/>
    </xf>
    <xf numFmtId="0" fontId="30" fillId="0" borderId="0" xfId="0" applyNumberFormat="1" applyFont="1" applyAlignment="1">
      <alignment horizontal="left" vertical="center"/>
    </xf>
    <xf numFmtId="0" fontId="30" fillId="0" borderId="17" xfId="0" applyNumberFormat="1" applyFont="1" applyBorder="1" applyAlignment="1">
      <alignment horizontal="left" vertical="center"/>
    </xf>
    <xf numFmtId="0" fontId="6" fillId="0" borderId="5"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0" borderId="12" xfId="0" applyNumberFormat="1" applyFont="1" applyBorder="1" applyAlignment="1">
      <alignment horizontal="center" vertical="center"/>
    </xf>
    <xf numFmtId="0" fontId="6" fillId="0" borderId="0" xfId="0" applyNumberFormat="1" applyFont="1" applyAlignment="1">
      <alignment horizontal="center" vertical="center"/>
    </xf>
    <xf numFmtId="49" fontId="6" fillId="0" borderId="5" xfId="0" applyNumberFormat="1" applyFont="1" applyBorder="1" applyAlignment="1">
      <alignment horizontal="center" vertical="center"/>
    </xf>
    <xf numFmtId="0" fontId="6" fillId="0" borderId="7" xfId="0" applyNumberFormat="1" applyFont="1" applyBorder="1" applyAlignment="1">
      <alignment horizontal="left" vertical="center" wrapText="1"/>
    </xf>
    <xf numFmtId="0" fontId="30" fillId="0" borderId="20" xfId="0" applyNumberFormat="1" applyFont="1" applyBorder="1" applyAlignment="1">
      <alignment horizontal="left" vertical="center"/>
    </xf>
    <xf numFmtId="0" fontId="30" fillId="0" borderId="22" xfId="0" applyNumberFormat="1" applyFont="1" applyBorder="1" applyAlignment="1">
      <alignment horizontal="left" vertical="center"/>
    </xf>
    <xf numFmtId="49" fontId="6" fillId="0" borderId="10" xfId="0" applyNumberFormat="1" applyFont="1" applyBorder="1" applyAlignment="1">
      <alignment horizontal="center" vertical="center"/>
    </xf>
    <xf numFmtId="0" fontId="6" fillId="0" borderId="10" xfId="0" applyNumberFormat="1" applyFont="1" applyBorder="1" applyAlignment="1">
      <alignment horizontal="left" vertical="center" wrapText="1"/>
    </xf>
    <xf numFmtId="0" fontId="6" fillId="0" borderId="12" xfId="0" applyNumberFormat="1" applyFont="1" applyBorder="1" applyAlignment="1">
      <alignment horizontal="left" vertical="center" wrapText="1" indent="1"/>
    </xf>
    <xf numFmtId="0" fontId="6" fillId="0" borderId="30"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0" borderId="17"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49" fontId="6" fillId="10" borderId="0" xfId="0" applyNumberFormat="1" applyFont="1" applyFill="1" applyAlignment="1">
      <alignment horizontal="center" vertical="center" wrapText="1"/>
    </xf>
    <xf numFmtId="0" fontId="35" fillId="0" borderId="0" xfId="0" applyNumberFormat="1" applyFont="1" applyAlignment="1">
      <alignment horizontal="right" vertical="top" wrapText="1"/>
    </xf>
    <xf numFmtId="49" fontId="0" fillId="10" borderId="5" xfId="0" applyNumberFormat="1" applyFont="1" applyFill="1" applyBorder="1" applyAlignment="1">
      <alignment horizontal="center" vertical="center" wrapText="1"/>
    </xf>
    <xf numFmtId="49" fontId="6" fillId="10" borderId="5" xfId="0" applyNumberFormat="1" applyFont="1" applyFill="1" applyBorder="1" applyAlignment="1">
      <alignment horizontal="center" vertical="center" wrapText="1"/>
    </xf>
    <xf numFmtId="0" fontId="35" fillId="0" borderId="0" xfId="0" applyNumberFormat="1" applyFont="1" applyAlignment="1">
      <alignment horizontal="left" vertical="top" wrapText="1" indent="1"/>
    </xf>
    <xf numFmtId="0" fontId="80" fillId="10" borderId="0" xfId="0" applyNumberFormat="1" applyFont="1" applyFill="1" applyAlignment="1">
      <alignment horizontal="left" vertical="center" wrapText="1"/>
    </xf>
    <xf numFmtId="0" fontId="0" fillId="10" borderId="5"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10" borderId="10" xfId="0" applyNumberFormat="1" applyFont="1" applyFill="1" applyBorder="1" applyAlignment="1">
      <alignment horizontal="left" vertical="top" wrapText="1"/>
    </xf>
    <xf numFmtId="0" fontId="6" fillId="10" borderId="29" xfId="0" applyNumberFormat="1" applyFont="1" applyFill="1" applyBorder="1" applyAlignment="1">
      <alignment horizontal="left" vertical="top" wrapText="1"/>
    </xf>
    <xf numFmtId="0" fontId="6" fillId="10" borderId="16" xfId="0" applyNumberFormat="1" applyFont="1" applyFill="1" applyBorder="1" applyAlignment="1">
      <alignment horizontal="left" vertical="top" wrapText="1"/>
    </xf>
    <xf numFmtId="0" fontId="6" fillId="10" borderId="17" xfId="0" applyNumberFormat="1" applyFont="1" applyFill="1" applyBorder="1" applyAlignment="1">
      <alignment horizontal="center" vertical="center" wrapText="1"/>
    </xf>
    <xf numFmtId="0" fontId="6" fillId="0" borderId="22" xfId="0" applyNumberFormat="1" applyFont="1" applyBorder="1" applyAlignment="1">
      <alignment horizontal="left" vertical="center" wrapText="1" indent="1"/>
    </xf>
    <xf numFmtId="0" fontId="6" fillId="0" borderId="16" xfId="0" applyNumberFormat="1" applyFont="1" applyBorder="1" applyAlignment="1">
      <alignment horizontal="left" vertical="center" wrapText="1" indent="1"/>
    </xf>
    <xf numFmtId="0" fontId="6" fillId="0" borderId="23" xfId="0" applyNumberFormat="1" applyFont="1" applyBorder="1" applyAlignment="1">
      <alignment horizontal="left" vertical="center" wrapText="1" inden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10" xfId="0" applyNumberFormat="1" applyFont="1" applyBorder="1" applyAlignment="1">
      <alignment horizontal="left" vertical="top" wrapText="1"/>
    </xf>
    <xf numFmtId="0" fontId="0" fillId="0" borderId="16" xfId="0" applyNumberFormat="1" applyFont="1" applyBorder="1" applyAlignment="1">
      <alignment horizontal="left" vertical="top" wrapText="1"/>
    </xf>
    <xf numFmtId="0" fontId="0" fillId="0" borderId="10" xfId="0" applyNumberFormat="1" applyFont="1" applyBorder="1" applyAlignment="1">
      <alignment horizontal="center" vertical="center" wrapText="1"/>
    </xf>
    <xf numFmtId="0" fontId="0" fillId="0" borderId="16" xfId="0" applyNumberFormat="1" applyFont="1" applyBorder="1" applyAlignment="1">
      <alignment horizontal="center" vertical="center" wrapText="1"/>
    </xf>
    <xf numFmtId="0" fontId="0" fillId="0" borderId="30" xfId="0" applyNumberFormat="1" applyFont="1" applyBorder="1" applyAlignment="1">
      <alignment horizontal="center" vertical="center" wrapText="1"/>
    </xf>
    <xf numFmtId="0" fontId="0" fillId="0" borderId="23" xfId="0" applyNumberFormat="1" applyFont="1" applyBorder="1" applyAlignment="1">
      <alignment horizontal="center" vertical="center" wrapText="1"/>
    </xf>
    <xf numFmtId="0" fontId="0" fillId="0" borderId="13"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6" fillId="16" borderId="12" xfId="0" applyNumberFormat="1" applyFont="1" applyFill="1" applyBorder="1" applyAlignment="1">
      <alignment horizontal="left" vertical="center" wrapText="1"/>
    </xf>
    <xf numFmtId="0" fontId="6" fillId="16" borderId="20" xfId="0" applyNumberFormat="1" applyFont="1" applyFill="1" applyBorder="1" applyAlignment="1">
      <alignment horizontal="left" vertical="center" wrapText="1"/>
    </xf>
    <xf numFmtId="0" fontId="6" fillId="0" borderId="12" xfId="0" applyNumberFormat="1" applyFont="1" applyBorder="1" applyAlignment="1">
      <alignment horizontal="left" vertical="top" wrapText="1" indent="1"/>
    </xf>
    <xf numFmtId="0" fontId="0" fillId="0" borderId="29" xfId="0" applyNumberFormat="1" applyFont="1" applyBorder="1" applyAlignment="1">
      <alignment horizontal="left" vertical="top" wrapText="1"/>
    </xf>
    <xf numFmtId="0" fontId="6" fillId="11" borderId="7" xfId="0" applyNumberFormat="1" applyFont="1" applyFill="1" applyBorder="1" applyAlignment="1">
      <alignment horizontal="left" vertical="center" wrapText="1"/>
    </xf>
    <xf numFmtId="0" fontId="6" fillId="11" borderId="8" xfId="0" applyNumberFormat="1" applyFont="1" applyFill="1" applyBorder="1" applyAlignment="1">
      <alignment horizontal="left" vertical="center" wrapText="1"/>
    </xf>
    <xf numFmtId="0" fontId="6" fillId="11" borderId="6" xfId="0" applyNumberFormat="1" applyFont="1" applyFill="1" applyBorder="1" applyAlignment="1">
      <alignment horizontal="left" vertical="center" wrapText="1"/>
    </xf>
    <xf numFmtId="0" fontId="6" fillId="16" borderId="7" xfId="0" applyNumberFormat="1" applyFont="1" applyFill="1" applyBorder="1" applyAlignment="1">
      <alignment horizontal="left" vertical="center" wrapText="1"/>
    </xf>
    <xf numFmtId="0" fontId="6" fillId="16" borderId="8" xfId="0" applyNumberFormat="1" applyFont="1" applyFill="1" applyBorder="1" applyAlignment="1">
      <alignment horizontal="left" vertical="center" wrapText="1"/>
    </xf>
    <xf numFmtId="0" fontId="6" fillId="16" borderId="6" xfId="0" applyNumberFormat="1" applyFont="1" applyFill="1" applyBorder="1" applyAlignment="1">
      <alignment horizontal="left" vertical="center" wrapText="1"/>
    </xf>
    <xf numFmtId="0" fontId="0" fillId="10" borderId="5" xfId="0" applyNumberFormat="1" applyFont="1" applyFill="1" applyBorder="1" applyAlignment="1">
      <alignment horizontal="right" vertical="center" wrapText="1" indent="1"/>
    </xf>
    <xf numFmtId="0" fontId="6" fillId="11" borderId="5" xfId="0" applyNumberFormat="1" applyFont="1" applyFill="1" applyBorder="1" applyAlignment="1">
      <alignment horizontal="left" vertical="center" wrapText="1" indent="1"/>
    </xf>
    <xf numFmtId="0" fontId="27" fillId="0" borderId="20" xfId="0" applyNumberFormat="1" applyFont="1" applyBorder="1" applyAlignment="1">
      <alignment horizontal="center" vertical="center" wrapText="1"/>
    </xf>
    <xf numFmtId="0" fontId="35" fillId="0" borderId="10" xfId="0" applyNumberFormat="1" applyFont="1" applyBorder="1" applyAlignment="1">
      <alignment horizontal="left" vertical="top" wrapText="1"/>
    </xf>
    <xf numFmtId="0" fontId="35" fillId="0" borderId="29" xfId="0" applyNumberFormat="1" applyFont="1" applyBorder="1" applyAlignment="1">
      <alignment horizontal="left" vertical="top" wrapText="1"/>
    </xf>
    <xf numFmtId="0" fontId="35" fillId="0" borderId="16" xfId="0" applyNumberFormat="1" applyFont="1" applyBorder="1" applyAlignment="1">
      <alignment horizontal="left" vertical="top" wrapText="1"/>
    </xf>
    <xf numFmtId="0" fontId="36" fillId="0" borderId="5" xfId="0" applyNumberFormat="1" applyFont="1" applyBorder="1" applyAlignment="1">
      <alignment horizontal="center" vertical="center" wrapText="1"/>
    </xf>
    <xf numFmtId="0" fontId="37" fillId="0" borderId="0" xfId="0" applyNumberFormat="1" applyFont="1" applyAlignment="1">
      <alignment horizontal="center" vertical="center" wrapText="1"/>
    </xf>
    <xf numFmtId="0" fontId="36" fillId="0" borderId="5" xfId="0" applyNumberFormat="1" applyFont="1" applyBorder="1" applyAlignment="1">
      <alignment horizontal="center" vertical="center"/>
    </xf>
    <xf numFmtId="0" fontId="36" fillId="0" borderId="7" xfId="0" applyNumberFormat="1" applyFont="1" applyBorder="1" applyAlignment="1">
      <alignment horizontal="center" vertical="center"/>
    </xf>
    <xf numFmtId="170" fontId="6" fillId="11" borderId="5" xfId="0" applyNumberFormat="1" applyFont="1" applyFill="1" applyBorder="1" applyAlignment="1">
      <alignment horizontal="left" vertical="center" wrapText="1" indent="1"/>
    </xf>
    <xf numFmtId="170" fontId="0" fillId="15" borderId="5" xfId="0" applyNumberFormat="1" applyFont="1" applyFill="1" applyBorder="1" applyAlignment="1" applyProtection="1">
      <alignment horizontal="center" vertical="center" wrapText="1"/>
      <protection locked="0"/>
    </xf>
    <xf numFmtId="49" fontId="0" fillId="15" borderId="5" xfId="0" applyNumberFormat="1" applyFont="1" applyFill="1" applyBorder="1" applyAlignment="1" applyProtection="1">
      <alignment horizontal="center" vertical="center" wrapText="1"/>
      <protection locked="0"/>
    </xf>
    <xf numFmtId="170" fontId="36" fillId="0" borderId="5"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0" fontId="67" fillId="10" borderId="12" xfId="0" applyNumberFormat="1" applyFont="1" applyFill="1" applyBorder="1" applyAlignment="1">
      <alignment horizontal="center" vertical="center" wrapText="1"/>
    </xf>
    <xf numFmtId="0" fontId="6" fillId="10" borderId="5" xfId="0" applyNumberFormat="1" applyFont="1" applyFill="1" applyBorder="1" applyAlignment="1">
      <alignment horizontal="left" vertical="center" wrapText="1"/>
    </xf>
    <xf numFmtId="0" fontId="0" fillId="10" borderId="7" xfId="0" applyNumberFormat="1" applyFont="1" applyFill="1" applyBorder="1" applyAlignment="1">
      <alignment horizontal="center" vertical="center" wrapText="1"/>
    </xf>
    <xf numFmtId="0" fontId="0" fillId="10" borderId="8" xfId="0" applyNumberFormat="1" applyFont="1" applyFill="1" applyBorder="1" applyAlignment="1">
      <alignment horizontal="center" vertical="center" wrapText="1"/>
    </xf>
    <xf numFmtId="0" fontId="0" fillId="10" borderId="6" xfId="0" applyNumberFormat="1" applyFont="1" applyFill="1" applyBorder="1" applyAlignment="1">
      <alignment horizontal="center" vertical="center" wrapText="1"/>
    </xf>
    <xf numFmtId="0" fontId="6" fillId="10" borderId="10"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49" fontId="30" fillId="13" borderId="10" xfId="0" applyNumberFormat="1" applyFont="1" applyFill="1" applyBorder="1" applyAlignment="1">
      <alignment horizontal="center" vertical="center" textRotation="90" wrapText="1"/>
    </xf>
    <xf numFmtId="49" fontId="30" fillId="13" borderId="29" xfId="0" applyNumberFormat="1" applyFont="1" applyFill="1" applyBorder="1" applyAlignment="1">
      <alignment horizontal="center" vertical="center" textRotation="90" wrapText="1"/>
    </xf>
    <xf numFmtId="49" fontId="30" fillId="13" borderId="16" xfId="0" applyNumberFormat="1" applyFont="1" applyFill="1" applyBorder="1" applyAlignment="1">
      <alignment horizontal="center" vertical="center" textRotation="90" wrapText="1"/>
    </xf>
    <xf numFmtId="0" fontId="36" fillId="0" borderId="10" xfId="0" applyNumberFormat="1" applyFont="1" applyBorder="1" applyAlignment="1">
      <alignment horizontal="center" vertical="center" wrapText="1"/>
    </xf>
    <xf numFmtId="0" fontId="36" fillId="0" borderId="16"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6" fillId="0" borderId="7" xfId="0" applyNumberFormat="1" applyFont="1" applyBorder="1" applyAlignment="1">
      <alignment horizontal="center" vertical="center" wrapText="1"/>
    </xf>
    <xf numFmtId="170" fontId="0" fillId="15" borderId="10" xfId="0" applyNumberFormat="1" applyFont="1" applyFill="1" applyBorder="1" applyAlignment="1" applyProtection="1">
      <alignment horizontal="center" vertical="center" wrapText="1"/>
      <protection locked="0"/>
    </xf>
    <xf numFmtId="49" fontId="0" fillId="15" borderId="16" xfId="0" applyNumberFormat="1" applyFont="1" applyFill="1" applyBorder="1" applyAlignment="1" applyProtection="1">
      <alignment horizontal="center" vertical="center" wrapText="1"/>
      <protection locked="0"/>
    </xf>
    <xf numFmtId="0" fontId="6" fillId="0" borderId="5" xfId="0" applyNumberFormat="1" applyFont="1" applyBorder="1" applyAlignment="1">
      <alignment horizontal="center" vertical="center"/>
    </xf>
    <xf numFmtId="0" fontId="6" fillId="0" borderId="7" xfId="0" applyNumberFormat="1" applyFont="1" applyBorder="1" applyAlignment="1">
      <alignment horizontal="center" vertical="center"/>
    </xf>
    <xf numFmtId="0" fontId="0" fillId="10" borderId="12" xfId="0" applyNumberFormat="1" applyFont="1" applyFill="1" applyBorder="1" applyAlignment="1">
      <alignment horizontal="center" vertical="center" wrapText="1"/>
    </xf>
    <xf numFmtId="0" fontId="37" fillId="0" borderId="10" xfId="0" applyNumberFormat="1" applyFont="1" applyBorder="1" applyAlignment="1">
      <alignment horizontal="center" vertical="center" wrapText="1"/>
    </xf>
    <xf numFmtId="0" fontId="37" fillId="0" borderId="16" xfId="0" applyNumberFormat="1" applyFont="1" applyBorder="1" applyAlignment="1">
      <alignment horizontal="center"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6" fillId="16" borderId="13" xfId="0" applyNumberFormat="1" applyFont="1" applyFill="1" applyBorder="1" applyAlignment="1">
      <alignment horizontal="left" vertical="center" wrapText="1"/>
    </xf>
    <xf numFmtId="0" fontId="6" fillId="0" borderId="12" xfId="0" applyNumberFormat="1" applyFont="1" applyBorder="1" applyAlignment="1">
      <alignment horizontal="center" vertical="center" wrapText="1"/>
    </xf>
    <xf numFmtId="0" fontId="6" fillId="0" borderId="20"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49" fontId="6" fillId="16" borderId="5" xfId="0" applyNumberFormat="1" applyFont="1" applyFill="1" applyBorder="1" applyAlignment="1">
      <alignment horizontal="left" vertical="center" wrapText="1" indent="1"/>
    </xf>
    <xf numFmtId="0" fontId="0" fillId="10" borderId="30" xfId="0" applyNumberFormat="1" applyFont="1" applyFill="1" applyBorder="1" applyAlignment="1">
      <alignment horizontal="center" vertical="center" wrapText="1"/>
    </xf>
    <xf numFmtId="0" fontId="0" fillId="10" borderId="13" xfId="0" applyNumberFormat="1" applyFont="1" applyFill="1" applyBorder="1" applyAlignment="1">
      <alignment horizontal="center" vertical="center" wrapText="1"/>
    </xf>
    <xf numFmtId="0" fontId="0" fillId="10" borderId="15"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17" xfId="0" applyNumberFormat="1" applyFont="1" applyFill="1" applyBorder="1" applyAlignment="1">
      <alignment horizontal="center" vertical="center" wrapText="1"/>
    </xf>
    <xf numFmtId="0" fontId="0" fillId="10" borderId="23" xfId="0" applyNumberFormat="1" applyFont="1" applyFill="1" applyBorder="1" applyAlignment="1">
      <alignment horizontal="center" vertical="center" wrapText="1"/>
    </xf>
    <xf numFmtId="0" fontId="0" fillId="10" borderId="20"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6" fillId="10" borderId="30"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0" fontId="6" fillId="10" borderId="23" xfId="0" applyNumberFormat="1" applyFont="1" applyFill="1" applyBorder="1" applyAlignment="1">
      <alignment horizontal="center" vertical="center" wrapText="1"/>
    </xf>
    <xf numFmtId="0" fontId="6" fillId="15" borderId="5" xfId="0" applyNumberFormat="1" applyFont="1" applyFill="1" applyBorder="1" applyAlignment="1" applyProtection="1">
      <alignment horizontal="center" vertical="center" wrapText="1"/>
      <protection locked="0"/>
    </xf>
    <xf numFmtId="0" fontId="6" fillId="10" borderId="10" xfId="0" applyNumberFormat="1" applyFont="1" applyFill="1" applyBorder="1" applyAlignment="1">
      <alignment horizontal="left" vertical="center" wrapText="1"/>
    </xf>
    <xf numFmtId="0" fontId="6" fillId="10" borderId="29" xfId="0" applyNumberFormat="1" applyFont="1" applyFill="1" applyBorder="1" applyAlignment="1">
      <alignment horizontal="left" vertical="center" wrapText="1"/>
    </xf>
    <xf numFmtId="0" fontId="6" fillId="10" borderId="16" xfId="0" applyNumberFormat="1" applyFont="1" applyFill="1" applyBorder="1" applyAlignment="1">
      <alignment horizontal="left" vertical="center" wrapText="1"/>
    </xf>
    <xf numFmtId="49" fontId="6" fillId="15" borderId="10" xfId="0" applyNumberFormat="1" applyFont="1" applyFill="1" applyBorder="1" applyAlignment="1" applyProtection="1">
      <alignment horizontal="left" vertical="center" wrapText="1" indent="6"/>
      <protection locked="0"/>
    </xf>
    <xf numFmtId="49" fontId="6" fillId="15" borderId="29" xfId="0" applyNumberFormat="1" applyFont="1" applyFill="1" applyBorder="1" applyAlignment="1" applyProtection="1">
      <alignment horizontal="left" vertical="center" wrapText="1" indent="6"/>
      <protection locked="0"/>
    </xf>
    <xf numFmtId="49" fontId="6" fillId="15" borderId="16" xfId="0" applyNumberFormat="1" applyFont="1" applyFill="1" applyBorder="1" applyAlignment="1" applyProtection="1">
      <alignment horizontal="left" vertical="center" wrapText="1" indent="6"/>
      <protection locked="0"/>
    </xf>
    <xf numFmtId="0" fontId="37" fillId="0" borderId="17" xfId="0" applyNumberFormat="1" applyFont="1" applyBorder="1" applyAlignment="1">
      <alignment horizontal="center" vertical="top" wrapText="1"/>
    </xf>
    <xf numFmtId="49" fontId="6" fillId="0" borderId="5" xfId="0" applyNumberFormat="1" applyFont="1" applyBorder="1" applyAlignment="1">
      <alignment horizontal="left" vertical="center" wrapText="1" indent="1"/>
    </xf>
    <xf numFmtId="0" fontId="35" fillId="0" borderId="5" xfId="0" applyNumberFormat="1" applyFont="1" applyBorder="1" applyAlignment="1">
      <alignment horizontal="left" vertical="top" wrapText="1"/>
    </xf>
    <xf numFmtId="0" fontId="6" fillId="12" borderId="7" xfId="0" applyNumberFormat="1" applyFont="1" applyFill="1" applyBorder="1" applyAlignment="1" applyProtection="1">
      <alignment horizontal="left" vertical="center" wrapText="1"/>
      <protection locked="0"/>
    </xf>
    <xf numFmtId="0" fontId="6" fillId="12" borderId="8" xfId="0" applyNumberFormat="1" applyFont="1" applyFill="1" applyBorder="1" applyAlignment="1" applyProtection="1">
      <alignment horizontal="left" vertical="center" wrapText="1"/>
      <protection locked="0"/>
    </xf>
    <xf numFmtId="0" fontId="6" fillId="12" borderId="6" xfId="0" applyNumberFormat="1" applyFont="1" applyFill="1" applyBorder="1" applyAlignment="1" applyProtection="1">
      <alignment horizontal="left" vertical="center" wrapText="1"/>
      <protection locked="0"/>
    </xf>
    <xf numFmtId="49" fontId="6" fillId="12" borderId="7" xfId="0" applyNumberFormat="1" applyFont="1" applyFill="1" applyBorder="1" applyAlignment="1" applyProtection="1">
      <alignment horizontal="left" vertical="center" wrapText="1"/>
      <protection locked="0"/>
    </xf>
    <xf numFmtId="49" fontId="6" fillId="12" borderId="8" xfId="0" applyNumberFormat="1" applyFont="1" applyFill="1" applyBorder="1" applyAlignment="1" applyProtection="1">
      <alignment horizontal="left" vertical="center" wrapText="1"/>
      <protection locked="0"/>
    </xf>
    <xf numFmtId="49" fontId="6" fillId="12" borderId="6"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center" vertical="center" wrapText="1"/>
      <protection locked="0"/>
    </xf>
    <xf numFmtId="4" fontId="6" fillId="15" borderId="5" xfId="0" applyNumberFormat="1" applyFont="1" applyFill="1" applyBorder="1" applyAlignment="1" applyProtection="1">
      <alignment horizontal="center" vertical="center" wrapText="1"/>
      <protection locked="0"/>
    </xf>
    <xf numFmtId="49" fontId="6" fillId="16" borderId="13" xfId="0" applyNumberFormat="1" applyFont="1" applyFill="1" applyBorder="1" applyAlignment="1">
      <alignment horizontal="center" vertical="center" wrapText="1"/>
    </xf>
    <xf numFmtId="49" fontId="6" fillId="16" borderId="22" xfId="0" applyNumberFormat="1" applyFont="1" applyFill="1" applyBorder="1" applyAlignment="1">
      <alignment horizontal="center" vertical="center" wrapText="1"/>
    </xf>
    <xf numFmtId="49" fontId="6" fillId="12" borderId="10" xfId="0" applyNumberFormat="1" applyFont="1" applyFill="1" applyBorder="1" applyAlignment="1" applyProtection="1">
      <alignment horizontal="left" vertical="center" wrapText="1" indent="6"/>
      <protection locked="0"/>
    </xf>
    <xf numFmtId="49" fontId="6" fillId="12" borderId="29" xfId="0" applyNumberFormat="1" applyFont="1" applyFill="1" applyBorder="1" applyAlignment="1" applyProtection="1">
      <alignment horizontal="left" vertical="center" wrapText="1" indent="6"/>
      <protection locked="0"/>
    </xf>
    <xf numFmtId="49" fontId="6" fillId="12" borderId="16" xfId="0" applyNumberFormat="1" applyFont="1" applyFill="1" applyBorder="1" applyAlignment="1" applyProtection="1">
      <alignment horizontal="left" vertical="center" wrapText="1" indent="6"/>
      <protection locked="0"/>
    </xf>
    <xf numFmtId="49" fontId="6" fillId="16" borderId="5" xfId="0" applyNumberFormat="1" applyFont="1" applyFill="1" applyBorder="1" applyAlignment="1" applyProtection="1">
      <alignment horizontal="left" vertical="center" wrapText="1" indent="1"/>
      <protection locked="0"/>
    </xf>
    <xf numFmtId="4" fontId="6" fillId="15" borderId="5" xfId="0" applyNumberFormat="1" applyFont="1" applyFill="1" applyBorder="1" applyAlignment="1" applyProtection="1">
      <alignment horizontal="left" vertical="center" wrapText="1" indent="1"/>
      <protection locked="0"/>
    </xf>
    <xf numFmtId="0" fontId="37" fillId="0" borderId="12" xfId="0" applyNumberFormat="1" applyFont="1" applyBorder="1" applyAlignment="1">
      <alignment horizontal="left" vertical="center" wrapText="1"/>
    </xf>
    <xf numFmtId="0" fontId="6" fillId="11" borderId="6" xfId="26" applyNumberFormat="1" applyFont="1" applyFill="1" applyBorder="1" applyAlignment="1">
      <alignment horizontal="left" vertical="center" wrapText="1"/>
    </xf>
    <xf numFmtId="0" fontId="6" fillId="12" borderId="6" xfId="26" applyNumberFormat="1" applyFont="1" applyFill="1" applyBorder="1" applyAlignment="1" applyProtection="1">
      <alignment horizontal="left" vertical="center" wrapText="1"/>
      <protection locked="0"/>
    </xf>
    <xf numFmtId="0" fontId="6" fillId="16" borderId="6" xfId="26" applyNumberFormat="1" applyFont="1" applyFill="1" applyBorder="1" applyAlignment="1">
      <alignment horizontal="left" vertical="center" wrapText="1"/>
    </xf>
    <xf numFmtId="49" fontId="6" fillId="16" borderId="5" xfId="26" applyNumberFormat="1" applyFont="1" applyFill="1" applyBorder="1" applyAlignment="1">
      <alignment horizontal="center" vertical="center" wrapText="1"/>
    </xf>
    <xf numFmtId="0" fontId="6" fillId="0" borderId="8"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inden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49" fontId="78" fillId="21" borderId="0" xfId="0" applyNumberFormat="1" applyFont="1" applyFill="1" applyAlignment="1">
      <alignment horizontal="center" vertical="center" textRotation="90" wrapText="1"/>
    </xf>
    <xf numFmtId="0" fontId="59" fillId="0" borderId="0" xfId="0" applyNumberFormat="1" applyFont="1" applyAlignment="1">
      <alignment horizontal="center" vertical="center" wrapText="1"/>
    </xf>
    <xf numFmtId="0" fontId="36" fillId="0" borderId="0" xfId="0" applyNumberFormat="1" applyFont="1" applyAlignment="1">
      <alignment horizontal="center" vertical="top"/>
    </xf>
    <xf numFmtId="0" fontId="6" fillId="0" borderId="16" xfId="0" applyNumberFormat="1" applyFont="1" applyBorder="1" applyAlignment="1">
      <alignment horizontal="left" vertical="center" wrapText="1"/>
    </xf>
    <xf numFmtId="0" fontId="0" fillId="0" borderId="7" xfId="0" applyNumberFormat="1" applyFont="1" applyBorder="1" applyAlignment="1">
      <alignment horizontal="right" vertical="center" wrapText="1" indent="1"/>
    </xf>
    <xf numFmtId="0" fontId="0" fillId="0" borderId="8"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49" fontId="37" fillId="0" borderId="10" xfId="0" applyNumberFormat="1" applyFont="1" applyBorder="1" applyAlignment="1">
      <alignment horizontal="center" vertical="center" wrapText="1"/>
    </xf>
    <xf numFmtId="49" fontId="37" fillId="0" borderId="29" xfId="0" applyNumberFormat="1" applyFont="1" applyBorder="1" applyAlignment="1">
      <alignment horizontal="center" vertical="center" wrapText="1"/>
    </xf>
    <xf numFmtId="49" fontId="37" fillId="0" borderId="16" xfId="0" applyNumberFormat="1" applyFont="1" applyBorder="1" applyAlignment="1">
      <alignment horizontal="center" vertical="center" wrapText="1"/>
    </xf>
    <xf numFmtId="0" fontId="0" fillId="11" borderId="5" xfId="0" applyNumberFormat="1" applyFont="1" applyFill="1" applyBorder="1" applyAlignment="1">
      <alignment horizontal="left" vertical="center" wrapText="1" indent="1"/>
    </xf>
    <xf numFmtId="0" fontId="35" fillId="0" borderId="0" xfId="0" applyNumberFormat="1" applyFont="1" applyAlignment="1">
      <alignment horizontal="left" vertical="top" wrapText="1"/>
    </xf>
    <xf numFmtId="0" fontId="37" fillId="0" borderId="8" xfId="0" applyNumberFormat="1" applyFont="1" applyBorder="1" applyAlignment="1">
      <alignment horizontal="right" vertical="center" wrapText="1" indent="1"/>
    </xf>
    <xf numFmtId="0" fontId="37" fillId="0" borderId="6" xfId="0" applyNumberFormat="1" applyFont="1" applyBorder="1" applyAlignment="1">
      <alignment horizontal="right" vertical="center" wrapText="1" indent="1"/>
    </xf>
    <xf numFmtId="49" fontId="6" fillId="31" borderId="0" xfId="0" applyNumberFormat="1" applyFont="1" applyFill="1" applyAlignment="1">
      <alignment horizontal="center" vertical="center" textRotation="90" wrapText="1"/>
    </xf>
    <xf numFmtId="0" fontId="6" fillId="11" borderId="7"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xf>
    <xf numFmtId="0" fontId="6" fillId="11" borderId="7" xfId="0" applyNumberFormat="1" applyFont="1" applyFill="1" applyBorder="1" applyAlignment="1">
      <alignment horizontal="left" vertical="top" wrapText="1" indent="1"/>
    </xf>
    <xf numFmtId="0" fontId="6" fillId="11" borderId="6" xfId="0" applyNumberFormat="1" applyFont="1" applyFill="1" applyBorder="1" applyAlignment="1">
      <alignment horizontal="left" vertical="top" wrapText="1" indent="1"/>
    </xf>
    <xf numFmtId="49" fontId="6" fillId="0" borderId="0" xfId="0" applyNumberFormat="1" applyFont="1" applyAlignment="1">
      <alignment vertical="center" wrapText="1"/>
    </xf>
    <xf numFmtId="0" fontId="26" fillId="0" borderId="17"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0" fontId="0" fillId="0" borderId="5" xfId="0" applyNumberFormat="1" applyFont="1" applyBorder="1" applyAlignment="1">
      <alignment horizontal="left" vertical="center" wrapText="1" indent="1"/>
    </xf>
    <xf numFmtId="49" fontId="6" fillId="0" borderId="5" xfId="0" applyNumberFormat="1" applyFont="1" applyBorder="1" applyAlignment="1">
      <alignment horizontal="left" vertical="center" wrapText="1"/>
    </xf>
    <xf numFmtId="49" fontId="6" fillId="0" borderId="7" xfId="0" applyNumberFormat="1" applyFont="1" applyBorder="1" applyAlignment="1">
      <alignment horizontal="center" vertical="center" wrapText="1"/>
    </xf>
    <xf numFmtId="0" fontId="6" fillId="0" borderId="0" xfId="0" applyNumberFormat="1" applyFont="1" applyAlignment="1">
      <alignment horizontal="left" vertical="center" wrapText="1"/>
    </xf>
    <xf numFmtId="0" fontId="6" fillId="10" borderId="13"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0" borderId="54" xfId="0" applyNumberFormat="1" applyFont="1" applyBorder="1" applyAlignment="1">
      <alignment horizontal="center" vertical="center"/>
    </xf>
    <xf numFmtId="0" fontId="6" fillId="0" borderId="55" xfId="0" applyNumberFormat="1" applyFont="1" applyBorder="1" applyAlignment="1">
      <alignment horizontal="center" vertical="center"/>
    </xf>
    <xf numFmtId="0" fontId="6" fillId="0" borderId="57" xfId="0" applyNumberFormat="1" applyFont="1" applyBorder="1" applyAlignment="1">
      <alignment horizontal="center" vertical="center"/>
    </xf>
    <xf numFmtId="0" fontId="6" fillId="0" borderId="67" xfId="0" applyNumberFormat="1" applyFont="1" applyBorder="1" applyAlignment="1">
      <alignment horizontal="center" vertical="center"/>
    </xf>
    <xf numFmtId="0" fontId="6" fillId="0" borderId="36" xfId="0" applyNumberFormat="1" applyFont="1" applyBorder="1" applyAlignment="1">
      <alignment horizontal="center" vertical="center"/>
    </xf>
    <xf numFmtId="49" fontId="0" fillId="0" borderId="5" xfId="0" applyNumberFormat="1" applyFont="1" applyBorder="1" applyAlignment="1">
      <alignment vertical="center" wrapText="1"/>
    </xf>
    <xf numFmtId="49" fontId="0" fillId="0" borderId="5" xfId="0" applyNumberFormat="1" applyFont="1" applyBorder="1" applyAlignment="1">
      <alignment horizontal="left" vertical="center" wrapText="1"/>
    </xf>
    <xf numFmtId="49" fontId="0" fillId="0" borderId="10"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6" xfId="0" applyNumberFormat="1" applyFont="1" applyBorder="1" applyAlignment="1">
      <alignment horizontal="center" vertical="center" wrapText="1"/>
    </xf>
    <xf numFmtId="0" fontId="0" fillId="11" borderId="5" xfId="0" applyNumberFormat="1" applyFont="1" applyFill="1" applyBorder="1" applyAlignment="1">
      <alignment horizontal="center" vertical="center" wrapText="1"/>
    </xf>
    <xf numFmtId="49" fontId="0" fillId="0" borderId="5" xfId="0" applyNumberFormat="1" applyFont="1" applyBorder="1" applyAlignment="1">
      <alignment horizontal="center" vertical="center"/>
    </xf>
    <xf numFmtId="49" fontId="6" fillId="0" borderId="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13" xfId="0" applyNumberFormat="1" applyFont="1" applyBorder="1" applyAlignment="1">
      <alignment horizontal="left" vertical="top" wrapText="1"/>
    </xf>
    <xf numFmtId="0" fontId="6" fillId="10" borderId="7" xfId="0" applyNumberFormat="1" applyFont="1" applyFill="1" applyBorder="1" applyAlignment="1">
      <alignment horizontal="center" vertical="center" wrapText="1"/>
    </xf>
    <xf numFmtId="0" fontId="6" fillId="10" borderId="8" xfId="0" applyNumberFormat="1" applyFont="1" applyFill="1" applyBorder="1" applyAlignment="1">
      <alignment horizontal="center" vertical="center" wrapText="1"/>
    </xf>
    <xf numFmtId="0" fontId="6" fillId="10" borderId="6"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49" fontId="6" fillId="7" borderId="5" xfId="0" applyNumberFormat="1" applyFont="1" applyFill="1" applyBorder="1" applyAlignment="1">
      <alignment horizontal="center" vertical="center" wrapText="1"/>
    </xf>
    <xf numFmtId="49" fontId="36" fillId="22" borderId="7" xfId="0" applyNumberFormat="1" applyFont="1" applyFill="1" applyBorder="1" applyAlignment="1">
      <alignment horizontal="center" vertical="center" wrapText="1"/>
    </xf>
    <xf numFmtId="49" fontId="36" fillId="22" borderId="8" xfId="0" applyNumberFormat="1" applyFont="1" applyFill="1" applyBorder="1" applyAlignment="1">
      <alignment horizontal="center" vertical="center" wrapText="1"/>
    </xf>
    <xf numFmtId="49" fontId="36" fillId="22" borderId="6" xfId="0" applyNumberFormat="1" applyFont="1" applyFill="1" applyBorder="1" applyAlignment="1">
      <alignment horizontal="center" vertical="center" wrapText="1"/>
    </xf>
    <xf numFmtId="49" fontId="36" fillId="25" borderId="7" xfId="0" applyNumberFormat="1" applyFont="1" applyFill="1" applyBorder="1" applyAlignment="1">
      <alignment horizontal="center" vertical="center" wrapText="1"/>
    </xf>
    <xf numFmtId="49" fontId="36" fillId="25" borderId="8" xfId="0" applyNumberFormat="1" applyFont="1" applyFill="1" applyBorder="1" applyAlignment="1">
      <alignment horizontal="center" vertical="center" wrapText="1"/>
    </xf>
    <xf numFmtId="49" fontId="36" fillId="25" borderId="6" xfId="0" applyNumberFormat="1" applyFont="1" applyFill="1" applyBorder="1" applyAlignment="1">
      <alignment horizontal="center" vertical="center" wrapText="1"/>
    </xf>
    <xf numFmtId="49" fontId="6" fillId="26" borderId="7" xfId="0" applyNumberFormat="1" applyFont="1" applyFill="1" applyBorder="1" applyAlignment="1">
      <alignment horizontal="center" vertical="center" wrapText="1"/>
    </xf>
    <xf numFmtId="49" fontId="6" fillId="26" borderId="8" xfId="0" applyNumberFormat="1" applyFont="1" applyFill="1" applyBorder="1" applyAlignment="1">
      <alignment horizontal="center" vertical="center" wrapText="1"/>
    </xf>
    <xf numFmtId="49" fontId="6" fillId="7" borderId="12"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20" xfId="0" applyNumberFormat="1" applyFont="1" applyFill="1" applyBorder="1" applyAlignment="1">
      <alignment horizontal="center" vertical="center" wrapText="1"/>
    </xf>
    <xf numFmtId="0" fontId="6" fillId="24" borderId="7" xfId="0" applyNumberFormat="1" applyFont="1" applyFill="1" applyBorder="1" applyAlignment="1">
      <alignment horizontal="center" vertical="center" wrapText="1"/>
    </xf>
    <xf numFmtId="0" fontId="6" fillId="24" borderId="8" xfId="0" applyNumberFormat="1" applyFont="1" applyFill="1" applyBorder="1" applyAlignment="1">
      <alignment horizontal="center" vertical="center" wrapText="1"/>
    </xf>
    <xf numFmtId="0" fontId="6" fillId="24" borderId="6" xfId="0" applyNumberFormat="1" applyFont="1" applyFill="1" applyBorder="1" applyAlignment="1">
      <alignment horizontal="center" vertical="center" wrapText="1"/>
    </xf>
    <xf numFmtId="0" fontId="6" fillId="7" borderId="7"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xf>
    <xf numFmtId="0" fontId="0" fillId="0" borderId="5" xfId="0" applyNumberFormat="1" applyFont="1" applyBorder="1" applyAlignment="1">
      <alignment horizontal="left" vertical="center" wrapText="1"/>
    </xf>
    <xf numFmtId="0" fontId="29" fillId="10" borderId="17" xfId="0" applyNumberFormat="1" applyFont="1" applyFill="1" applyBorder="1" applyAlignment="1">
      <alignment horizontal="center" vertical="top" wrapText="1"/>
    </xf>
    <xf numFmtId="0" fontId="29" fillId="0" borderId="0" xfId="0" applyNumberFormat="1" applyFont="1" applyAlignment="1">
      <alignment vertical="center" wrapText="1"/>
    </xf>
    <xf numFmtId="0" fontId="6" fillId="0" borderId="29" xfId="0" applyNumberFormat="1" applyFont="1" applyBorder="1" applyAlignment="1">
      <alignment vertical="center" wrapText="1"/>
    </xf>
    <xf numFmtId="49" fontId="0" fillId="10" borderId="16" xfId="0" applyNumberFormat="1" applyFont="1" applyFill="1" applyBorder="1" applyAlignment="1">
      <alignment horizontal="center" vertical="center" wrapText="1"/>
    </xf>
    <xf numFmtId="0" fontId="0" fillId="11" borderId="16" xfId="0" applyNumberFormat="1" applyFont="1" applyFill="1" applyBorder="1" applyAlignment="1">
      <alignment horizontal="left" vertical="center" wrapText="1" indent="1"/>
    </xf>
    <xf numFmtId="0" fontId="6" fillId="0" borderId="8" xfId="0" applyNumberFormat="1" applyFont="1" applyBorder="1" applyAlignment="1">
      <alignment horizontal="left" vertical="top" wrapText="1" indent="1"/>
    </xf>
    <xf numFmtId="0" fontId="29" fillId="10" borderId="0" xfId="0" applyNumberFormat="1" applyFont="1" applyFill="1" applyAlignment="1">
      <alignment horizontal="center" vertical="top" wrapText="1"/>
    </xf>
    <xf numFmtId="49" fontId="26" fillId="10" borderId="12" xfId="0" applyNumberFormat="1" applyFont="1" applyFill="1" applyBorder="1" applyAlignment="1">
      <alignment horizontal="center" vertical="center" wrapText="1"/>
    </xf>
    <xf numFmtId="0" fontId="0" fillId="0" borderId="10" xfId="0" applyNumberFormat="1" applyFont="1" applyBorder="1" applyAlignment="1">
      <alignment horizontal="left" vertical="center" wrapText="1"/>
    </xf>
    <xf numFmtId="0" fontId="0" fillId="11" borderId="7" xfId="0" applyNumberFormat="1" applyFont="1" applyFill="1" applyBorder="1" applyAlignment="1">
      <alignment horizontal="left" vertical="center" wrapText="1" indent="1"/>
    </xf>
    <xf numFmtId="0" fontId="0" fillId="10" borderId="10" xfId="0" applyNumberFormat="1" applyFont="1" applyFill="1" applyBorder="1" applyAlignment="1">
      <alignment horizontal="left" vertical="top" wrapText="1"/>
    </xf>
    <xf numFmtId="0" fontId="0" fillId="10" borderId="29" xfId="0" applyNumberFormat="1" applyFont="1" applyFill="1" applyBorder="1" applyAlignment="1">
      <alignment horizontal="left" vertical="top" wrapText="1"/>
    </xf>
    <xf numFmtId="0" fontId="0" fillId="10" borderId="16" xfId="0" applyNumberFormat="1" applyFont="1" applyFill="1" applyBorder="1" applyAlignment="1">
      <alignment horizontal="left" vertical="top" wrapText="1"/>
    </xf>
    <xf numFmtId="4" fontId="6" fillId="0" borderId="10" xfId="0" applyNumberFormat="1" applyFont="1" applyBorder="1" applyAlignment="1">
      <alignment horizontal="center" vertical="center" wrapText="1"/>
    </xf>
    <xf numFmtId="4" fontId="6" fillId="0" borderId="16" xfId="0" applyNumberFormat="1" applyFont="1" applyBorder="1" applyAlignment="1">
      <alignment horizontal="center" vertical="center" wrapText="1"/>
    </xf>
    <xf numFmtId="4" fontId="6" fillId="0" borderId="29" xfId="0" applyNumberFormat="1" applyFont="1" applyBorder="1" applyAlignment="1">
      <alignment horizontal="center" vertical="center" wrapText="1"/>
    </xf>
    <xf numFmtId="0" fontId="6" fillId="0" borderId="22" xfId="0" applyNumberFormat="1" applyFont="1" applyBorder="1" applyAlignment="1">
      <alignment horizontal="left" vertical="top" wrapText="1"/>
    </xf>
    <xf numFmtId="168" fontId="6" fillId="0" borderId="10" xfId="0" applyNumberFormat="1" applyFont="1" applyBorder="1" applyAlignment="1">
      <alignment horizontal="center" vertical="center" wrapText="1"/>
    </xf>
    <xf numFmtId="168" fontId="6" fillId="0" borderId="16" xfId="0" applyNumberFormat="1" applyFont="1" applyBorder="1" applyAlignment="1">
      <alignment horizontal="center" vertical="center" wrapText="1"/>
    </xf>
    <xf numFmtId="168" fontId="6" fillId="0" borderId="7" xfId="0" applyNumberFormat="1" applyFont="1" applyBorder="1" applyAlignment="1">
      <alignment horizontal="center" vertical="center" wrapText="1"/>
    </xf>
    <xf numFmtId="168" fontId="6" fillId="0" borderId="8" xfId="0" applyNumberFormat="1" applyFont="1" applyBorder="1" applyAlignment="1">
      <alignment horizontal="center" vertical="center" wrapText="1"/>
    </xf>
    <xf numFmtId="168" fontId="6" fillId="0" borderId="6" xfId="0" applyNumberFormat="1" applyFont="1" applyBorder="1" applyAlignment="1">
      <alignment horizontal="center" vertical="center" wrapText="1"/>
    </xf>
    <xf numFmtId="0" fontId="6" fillId="11" borderId="5" xfId="0" applyNumberFormat="1" applyFont="1" applyFill="1" applyBorder="1" applyAlignment="1">
      <alignment horizontal="left" vertical="center" wrapText="1"/>
    </xf>
    <xf numFmtId="14" fontId="6" fillId="16" borderId="5" xfId="0" applyNumberFormat="1" applyFont="1" applyFill="1" applyBorder="1" applyAlignment="1">
      <alignment horizontal="left" vertical="center" wrapText="1"/>
    </xf>
    <xf numFmtId="49" fontId="6" fillId="16" borderId="7" xfId="0" applyNumberFormat="1" applyFont="1" applyFill="1" applyBorder="1" applyAlignment="1">
      <alignment horizontal="left" vertical="center" wrapText="1"/>
    </xf>
    <xf numFmtId="49" fontId="6" fillId="16" borderId="5" xfId="0" applyNumberFormat="1" applyFont="1" applyFill="1" applyBorder="1" applyAlignment="1">
      <alignment horizontal="left" vertical="center" wrapText="1"/>
    </xf>
    <xf numFmtId="0" fontId="6" fillId="11" borderId="22" xfId="0" applyNumberFormat="1" applyFont="1" applyFill="1" applyBorder="1" applyAlignment="1">
      <alignment horizontal="left" vertical="center" wrapText="1"/>
    </xf>
    <xf numFmtId="14" fontId="6" fillId="16" borderId="16" xfId="0" applyNumberFormat="1" applyFont="1" applyFill="1" applyBorder="1" applyAlignment="1">
      <alignment horizontal="left" vertical="center" wrapText="1"/>
    </xf>
    <xf numFmtId="49" fontId="6" fillId="0" borderId="5" xfId="0" applyNumberFormat="1" applyFont="1" applyBorder="1" applyAlignment="1">
      <alignment horizontal="left" vertical="top" wrapText="1"/>
    </xf>
    <xf numFmtId="49" fontId="111" fillId="0" borderId="5" xfId="0" applyNumberFormat="1" applyFont="1" applyBorder="1" applyAlignment="1">
      <alignment horizontal="left" vertical="top" wrapText="1"/>
    </xf>
    <xf numFmtId="0" fontId="6" fillId="0" borderId="8" xfId="0" applyNumberFormat="1" applyFont="1" applyBorder="1" applyAlignment="1">
      <alignment horizontal="left" vertical="center" wrapText="1"/>
    </xf>
    <xf numFmtId="168" fontId="6" fillId="0" borderId="29" xfId="0" applyNumberFormat="1" applyFont="1" applyBorder="1" applyAlignment="1">
      <alignment horizontal="center" vertical="center" wrapText="1"/>
    </xf>
    <xf numFmtId="168" fontId="6" fillId="0" borderId="5" xfId="0" applyNumberFormat="1" applyFont="1" applyBorder="1" applyAlignment="1">
      <alignment horizontal="center" vertical="center" wrapText="1"/>
    </xf>
    <xf numFmtId="168" fontId="35" fillId="0" borderId="12" xfId="0" applyNumberFormat="1" applyFont="1" applyBorder="1" applyAlignment="1">
      <alignment horizontal="center" vertical="center" wrapText="1"/>
    </xf>
    <xf numFmtId="49" fontId="6" fillId="16" borderId="23" xfId="0" applyNumberFormat="1" applyFont="1" applyFill="1" applyBorder="1" applyAlignment="1">
      <alignment horizontal="left" vertical="center" wrapText="1"/>
    </xf>
    <xf numFmtId="49" fontId="6" fillId="16" borderId="16"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6" xfId="0" applyNumberFormat="1" applyFont="1" applyBorder="1" applyAlignment="1">
      <alignment horizontal="left" vertical="center" wrapText="1" indent="1"/>
    </xf>
    <xf numFmtId="0" fontId="6" fillId="0" borderId="7" xfId="0" applyNumberFormat="1" applyFont="1" applyBorder="1" applyAlignment="1">
      <alignment horizontal="left" vertical="center" wrapText="1" indent="1"/>
    </xf>
    <xf numFmtId="49" fontId="0" fillId="0" borderId="8" xfId="0" applyNumberFormat="1" applyFont="1" applyBorder="1" applyAlignment="1">
      <alignment horizontal="left" vertical="center" indent="1"/>
    </xf>
    <xf numFmtId="3" fontId="6" fillId="15" borderId="5" xfId="0" applyNumberFormat="1" applyFont="1" applyFill="1" applyBorder="1" applyAlignment="1" applyProtection="1">
      <alignment horizontal="center" vertical="center" wrapText="1"/>
      <protection locked="0"/>
    </xf>
    <xf numFmtId="49" fontId="6" fillId="16" borderId="7" xfId="0" applyNumberFormat="1" applyFont="1" applyFill="1" applyBorder="1" applyAlignment="1">
      <alignment horizontal="center" vertical="center" wrapText="1"/>
    </xf>
    <xf numFmtId="49" fontId="110" fillId="0" borderId="6" xfId="0" applyNumberFormat="1" applyFont="1" applyBorder="1" applyAlignment="1">
      <alignment horizontal="center" vertical="center" wrapText="1"/>
    </xf>
    <xf numFmtId="0" fontId="35" fillId="0" borderId="5" xfId="0" applyNumberFormat="1" applyFont="1" applyBorder="1" applyAlignment="1">
      <alignment horizontal="center" vertical="center"/>
    </xf>
    <xf numFmtId="49" fontId="6" fillId="16" borderId="10" xfId="0" applyNumberFormat="1" applyFont="1" applyFill="1" applyBorder="1" applyAlignment="1">
      <alignment horizontal="left" vertical="center" wrapText="1" indent="1"/>
    </xf>
    <xf numFmtId="49" fontId="6" fillId="16" borderId="29" xfId="0" applyNumberFormat="1" applyFont="1" applyFill="1" applyBorder="1" applyAlignment="1">
      <alignment horizontal="left" vertical="center" wrapText="1" indent="1"/>
    </xf>
    <xf numFmtId="49" fontId="6" fillId="16" borderId="16" xfId="0" applyNumberFormat="1" applyFont="1" applyFill="1" applyBorder="1" applyAlignment="1">
      <alignment horizontal="left" vertical="center" wrapText="1" indent="1"/>
    </xf>
    <xf numFmtId="49" fontId="6" fillId="11" borderId="5" xfId="0" applyNumberFormat="1" applyFont="1" applyFill="1" applyBorder="1" applyAlignment="1">
      <alignment horizontal="left" vertical="center" wrapText="1"/>
    </xf>
    <xf numFmtId="49" fontId="6" fillId="16" borderId="6" xfId="0" applyNumberFormat="1" applyFont="1" applyFill="1" applyBorder="1" applyAlignment="1">
      <alignment horizontal="left" vertical="center" wrapText="1"/>
    </xf>
    <xf numFmtId="49" fontId="6" fillId="15" borderId="5" xfId="0" applyNumberFormat="1" applyFont="1" applyFill="1" applyBorder="1" applyAlignment="1" applyProtection="1">
      <alignment horizontal="left" vertical="center" wrapText="1"/>
      <protection locked="0"/>
    </xf>
    <xf numFmtId="0" fontId="30" fillId="13" borderId="8" xfId="0" applyNumberFormat="1" applyFont="1" applyFill="1" applyBorder="1" applyAlignment="1">
      <alignment horizontal="left" vertical="center"/>
    </xf>
    <xf numFmtId="0" fontId="30" fillId="13" borderId="6" xfId="0" applyNumberFormat="1" applyFont="1" applyFill="1" applyBorder="1" applyAlignment="1">
      <alignment horizontal="left" vertical="center"/>
    </xf>
    <xf numFmtId="0" fontId="30" fillId="13" borderId="12" xfId="0" applyNumberFormat="1" applyFont="1" applyFill="1" applyBorder="1" applyAlignment="1">
      <alignment horizontal="left" vertical="center"/>
    </xf>
    <xf numFmtId="0" fontId="30" fillId="13" borderId="13" xfId="0" applyNumberFormat="1" applyFont="1" applyFill="1" applyBorder="1" applyAlignment="1">
      <alignment horizontal="left" vertical="center"/>
    </xf>
    <xf numFmtId="49" fontId="6" fillId="15" borderId="10" xfId="0" applyNumberFormat="1" applyFont="1" applyFill="1" applyBorder="1" applyAlignment="1" applyProtection="1">
      <alignment horizontal="left" vertical="center" wrapText="1"/>
      <protection locked="0"/>
    </xf>
    <xf numFmtId="49" fontId="6" fillId="0" borderId="29" xfId="0" applyNumberFormat="1" applyFont="1" applyBorder="1" applyAlignment="1">
      <alignment horizontal="center" vertical="center"/>
    </xf>
    <xf numFmtId="0" fontId="6" fillId="16" borderId="10" xfId="0" applyNumberFormat="1" applyFont="1" applyFill="1" applyBorder="1" applyAlignment="1">
      <alignment horizontal="left" vertical="center" wrapText="1"/>
    </xf>
    <xf numFmtId="0" fontId="6" fillId="16" borderId="29" xfId="0" applyNumberFormat="1" applyFont="1" applyFill="1" applyBorder="1" applyAlignment="1">
      <alignment horizontal="left" vertical="center" wrapText="1"/>
    </xf>
    <xf numFmtId="49" fontId="6" fillId="16" borderId="10" xfId="0" applyNumberFormat="1" applyFont="1" applyFill="1" applyBorder="1" applyAlignment="1">
      <alignment horizontal="left" vertical="center" wrapText="1"/>
    </xf>
    <xf numFmtId="0" fontId="6" fillId="0" borderId="17" xfId="0" applyNumberFormat="1" applyFont="1" applyBorder="1" applyAlignment="1">
      <alignment horizontal="center" vertical="center"/>
    </xf>
    <xf numFmtId="49" fontId="6" fillId="12" borderId="10" xfId="0" applyNumberFormat="1" applyFont="1" applyFill="1" applyBorder="1" applyAlignment="1" applyProtection="1">
      <alignment horizontal="left" vertical="center" wrapText="1"/>
      <protection locked="0"/>
    </xf>
    <xf numFmtId="49" fontId="30" fillId="13" borderId="44" xfId="0" applyNumberFormat="1" applyFont="1" applyFill="1" applyBorder="1" applyAlignment="1">
      <alignment horizontal="left" vertical="center" indent="1"/>
    </xf>
    <xf numFmtId="49" fontId="6" fillId="11" borderId="5" xfId="0" applyNumberFormat="1" applyFont="1" applyFill="1" applyBorder="1" applyAlignment="1">
      <alignment horizontal="center" vertical="center" wrapText="1"/>
    </xf>
    <xf numFmtId="49" fontId="6" fillId="11" borderId="68" xfId="0" applyNumberFormat="1" applyFont="1" applyFill="1" applyBorder="1" applyAlignment="1">
      <alignment horizontal="center" vertical="center" wrapText="1"/>
    </xf>
    <xf numFmtId="49" fontId="6" fillId="16" borderId="5" xfId="0" applyNumberFormat="1" applyFont="1" applyFill="1" applyBorder="1" applyAlignment="1">
      <alignment horizontal="center" vertical="top" wrapText="1"/>
    </xf>
    <xf numFmtId="49" fontId="6" fillId="16" borderId="7" xfId="0" applyNumberFormat="1" applyFont="1" applyFill="1" applyBorder="1" applyAlignment="1">
      <alignment horizontal="center" vertical="top" wrapText="1"/>
    </xf>
    <xf numFmtId="0" fontId="6" fillId="12" borderId="5" xfId="0" applyNumberFormat="1" applyFont="1" applyFill="1" applyBorder="1" applyAlignment="1" applyProtection="1">
      <alignment horizontal="left" vertical="top" wrapText="1"/>
      <protection locked="0"/>
    </xf>
    <xf numFmtId="170" fontId="0" fillId="12" borderId="5" xfId="0" applyNumberFormat="1" applyFont="1" applyFill="1" applyBorder="1" applyAlignment="1" applyProtection="1">
      <alignment horizontal="center" vertical="top" wrapText="1"/>
      <protection locked="0"/>
    </xf>
    <xf numFmtId="49" fontId="0" fillId="12" borderId="5" xfId="0" applyNumberFormat="1" applyFont="1" applyFill="1" applyBorder="1" applyAlignment="1" applyProtection="1">
      <alignment horizontal="center" vertical="top" wrapText="1"/>
      <protection locked="0"/>
    </xf>
    <xf numFmtId="49" fontId="6" fillId="15" borderId="5" xfId="0" applyNumberFormat="1" applyFont="1" applyFill="1" applyBorder="1" applyAlignment="1" applyProtection="1">
      <alignment horizontal="left" vertical="top" wrapText="1"/>
      <protection locked="0"/>
    </xf>
    <xf numFmtId="49" fontId="0" fillId="11" borderId="5" xfId="0" applyNumberFormat="1" applyFont="1" applyFill="1" applyBorder="1" applyAlignment="1">
      <alignment horizontal="center" vertical="top" wrapText="1"/>
    </xf>
    <xf numFmtId="0" fontId="6" fillId="11" borderId="5" xfId="0" applyNumberFormat="1" applyFont="1" applyFill="1" applyBorder="1" applyAlignment="1">
      <alignment horizontal="center" vertical="top" wrapText="1"/>
    </xf>
    <xf numFmtId="14" fontId="68" fillId="0" borderId="10" xfId="0" applyNumberFormat="1" applyFont="1" applyBorder="1" applyAlignment="1">
      <alignment horizontal="center" vertical="center" wrapText="1"/>
    </xf>
    <xf numFmtId="14" fontId="68" fillId="0" borderId="29" xfId="0" applyNumberFormat="1" applyFont="1" applyBorder="1" applyAlignment="1">
      <alignment horizontal="center" vertical="center" wrapText="1"/>
    </xf>
    <xf numFmtId="0" fontId="62" fillId="0" borderId="5" xfId="0" applyNumberFormat="1" applyFont="1" applyBorder="1" applyAlignment="1">
      <alignment horizontal="left" vertical="center" wrapText="1" indent="1"/>
    </xf>
    <xf numFmtId="0" fontId="62" fillId="0" borderId="5" xfId="0" applyNumberFormat="1" applyFont="1" applyBorder="1" applyAlignment="1">
      <alignment horizontal="left" vertical="top" indent="1"/>
    </xf>
    <xf numFmtId="0" fontId="26" fillId="0" borderId="5" xfId="0" applyNumberFormat="1" applyFont="1" applyBorder="1" applyAlignment="1">
      <alignment horizontal="center" vertical="center" wrapText="1"/>
    </xf>
    <xf numFmtId="0" fontId="6" fillId="16" borderId="5" xfId="0" applyNumberFormat="1" applyFont="1" applyFill="1" applyBorder="1" applyAlignment="1">
      <alignment horizontal="left" vertical="center" wrapText="1" indent="1"/>
    </xf>
    <xf numFmtId="0" fontId="0" fillId="15" borderId="5" xfId="0" applyNumberFormat="1" applyFont="1" applyFill="1" applyBorder="1" applyAlignment="1" applyProtection="1">
      <alignment horizontal="left" vertical="center" wrapText="1"/>
      <protection locked="0"/>
    </xf>
    <xf numFmtId="49" fontId="0" fillId="15" borderId="7" xfId="0" applyNumberFormat="1" applyFont="1" applyFill="1" applyBorder="1" applyAlignment="1" applyProtection="1">
      <alignment horizontal="left" vertical="center" wrapText="1"/>
      <protection locked="0"/>
    </xf>
    <xf numFmtId="49" fontId="27" fillId="0" borderId="10" xfId="0" applyNumberFormat="1" applyFont="1" applyBorder="1" applyAlignment="1">
      <alignment horizontal="center" vertical="top" wrapText="1"/>
    </xf>
    <xf numFmtId="49" fontId="6" fillId="0" borderId="29" xfId="0" applyNumberFormat="1" applyFont="1" applyBorder="1" applyAlignment="1">
      <alignment horizontal="center" vertical="top" wrapText="1"/>
    </xf>
    <xf numFmtId="49" fontId="6" fillId="0" borderId="16" xfId="0" applyNumberFormat="1" applyFont="1" applyBorder="1" applyAlignment="1">
      <alignment horizontal="center" vertical="top" wrapText="1"/>
    </xf>
    <xf numFmtId="49" fontId="6" fillId="15" borderId="7" xfId="0" applyNumberFormat="1" applyFont="1" applyFill="1" applyBorder="1" applyAlignment="1" applyProtection="1">
      <alignment horizontal="left" vertical="center" wrapText="1" indent="1"/>
      <protection locked="0"/>
    </xf>
    <xf numFmtId="49" fontId="6" fillId="15" borderId="5" xfId="0" applyNumberFormat="1" applyFont="1" applyFill="1" applyBorder="1" applyAlignment="1" applyProtection="1">
      <alignment horizontal="left" vertical="center" wrapText="1" indent="1"/>
      <protection locked="0"/>
    </xf>
    <xf numFmtId="49" fontId="6" fillId="0" borderId="10"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top" wrapText="1"/>
    </xf>
    <xf numFmtId="0" fontId="0" fillId="11" borderId="5" xfId="0" applyNumberFormat="1" applyFont="1" applyFill="1" applyBorder="1" applyAlignment="1">
      <alignment horizontal="left" vertical="top" wrapText="1" indent="1"/>
    </xf>
    <xf numFmtId="49" fontId="6" fillId="16" borderId="10" xfId="0" applyNumberFormat="1" applyFont="1" applyFill="1" applyBorder="1" applyAlignment="1">
      <alignment horizontal="center" vertical="top" wrapText="1"/>
    </xf>
    <xf numFmtId="49" fontId="6" fillId="16" borderId="16" xfId="0" applyNumberFormat="1" applyFont="1" applyFill="1" applyBorder="1" applyAlignment="1">
      <alignment horizontal="center" vertical="top" wrapText="1"/>
    </xf>
    <xf numFmtId="170" fontId="0" fillId="15" borderId="5" xfId="0" applyNumberFormat="1" applyFont="1" applyFill="1" applyBorder="1" applyAlignment="1" applyProtection="1">
      <alignment horizontal="center" vertical="top" wrapText="1"/>
      <protection locked="0"/>
    </xf>
    <xf numFmtId="49" fontId="0" fillId="15" borderId="5" xfId="0" applyNumberFormat="1" applyFont="1" applyFill="1" applyBorder="1" applyAlignment="1" applyProtection="1">
      <alignment horizontal="center" vertical="top" wrapText="1"/>
      <protection locked="0"/>
    </xf>
    <xf numFmtId="49" fontId="6" fillId="16" borderId="5" xfId="0" applyNumberFormat="1" applyFont="1" applyFill="1" applyBorder="1" applyAlignment="1">
      <alignment horizontal="left" vertical="top" wrapText="1"/>
    </xf>
    <xf numFmtId="49" fontId="110" fillId="0" borderId="5" xfId="0" applyNumberFormat="1" applyFont="1" applyBorder="1" applyAlignment="1">
      <alignment horizontal="center" vertical="center" wrapText="1"/>
    </xf>
    <xf numFmtId="49" fontId="82" fillId="0" borderId="5" xfId="0" applyNumberFormat="1" applyFont="1" applyBorder="1" applyAlignment="1">
      <alignment horizontal="center" vertical="top" wrapText="1"/>
    </xf>
    <xf numFmtId="0" fontId="82" fillId="7" borderId="5" xfId="0" applyNumberFormat="1" applyFont="1" applyFill="1" applyBorder="1" applyAlignment="1">
      <alignment horizontal="center" vertical="center" wrapText="1"/>
    </xf>
    <xf numFmtId="49" fontId="82" fillId="0" borderId="30" xfId="0" applyNumberFormat="1" applyFont="1" applyBorder="1" applyAlignment="1">
      <alignment horizontal="center" vertical="top" wrapText="1"/>
    </xf>
    <xf numFmtId="49" fontId="82" fillId="0" borderId="23" xfId="0" applyNumberFormat="1" applyFont="1" applyBorder="1" applyAlignment="1">
      <alignment horizontal="center" vertical="top" wrapText="1"/>
    </xf>
    <xf numFmtId="49" fontId="82" fillId="0" borderId="7" xfId="0" applyNumberFormat="1" applyFont="1" applyBorder="1" applyAlignment="1">
      <alignment horizontal="center" vertical="top" wrapText="1"/>
    </xf>
    <xf numFmtId="49" fontId="82" fillId="0" borderId="8" xfId="0" applyNumberFormat="1" applyFont="1" applyBorder="1" applyAlignment="1">
      <alignment horizontal="center" vertical="top" wrapText="1"/>
    </xf>
    <xf numFmtId="49" fontId="82" fillId="0" borderId="6" xfId="0" applyNumberFormat="1" applyFont="1" applyBorder="1" applyAlignment="1">
      <alignment horizontal="center" vertical="top" wrapText="1"/>
    </xf>
    <xf numFmtId="49" fontId="82" fillId="0" borderId="10" xfId="0" applyNumberFormat="1" applyFont="1" applyBorder="1" applyAlignment="1">
      <alignment horizontal="center" vertical="top" wrapText="1"/>
    </xf>
    <xf numFmtId="49" fontId="82" fillId="0" borderId="29" xfId="0" applyNumberFormat="1" applyFont="1" applyBorder="1" applyAlignment="1">
      <alignment horizontal="center" vertical="top" wrapText="1"/>
    </xf>
    <xf numFmtId="49" fontId="82" fillId="0" borderId="16" xfId="0" applyNumberFormat="1" applyFont="1" applyBorder="1" applyAlignment="1">
      <alignment horizontal="center" vertical="top" wrapText="1"/>
    </xf>
    <xf numFmtId="0" fontId="5" fillId="0" borderId="12" xfId="0" applyNumberFormat="1" applyFont="1" applyBorder="1" applyAlignment="1">
      <alignment horizontal="left" vertical="center" wrapText="1" indent="1"/>
    </xf>
    <xf numFmtId="0" fontId="5" fillId="0" borderId="20" xfId="0" applyNumberFormat="1" applyFont="1" applyBorder="1" applyAlignment="1">
      <alignment horizontal="left" vertical="center" wrapText="1" indent="1"/>
    </xf>
    <xf numFmtId="0" fontId="6" fillId="0" borderId="0" xfId="0" applyNumberFormat="1" applyFont="1" applyAlignment="1">
      <alignment horizontal="right" vertical="center" wrapText="1"/>
    </xf>
    <xf numFmtId="4" fontId="6" fillId="11" borderId="5" xfId="0" applyNumberFormat="1" applyFont="1" applyFill="1" applyBorder="1" applyAlignment="1">
      <alignment horizontal="left" vertical="center" wrapText="1"/>
    </xf>
    <xf numFmtId="0" fontId="6" fillId="16" borderId="5" xfId="0" applyNumberFormat="1" applyFont="1" applyFill="1" applyBorder="1" applyAlignment="1" applyProtection="1">
      <alignment horizontal="left" vertical="center" wrapText="1"/>
      <protection locked="0"/>
    </xf>
    <xf numFmtId="0" fontId="6" fillId="16" borderId="7" xfId="0" applyNumberFormat="1" applyFont="1" applyFill="1" applyBorder="1" applyAlignment="1" applyProtection="1">
      <alignment horizontal="left" vertical="center" wrapText="1"/>
      <protection locked="0"/>
    </xf>
    <xf numFmtId="0" fontId="6" fillId="16" borderId="8" xfId="0" applyNumberFormat="1" applyFont="1" applyFill="1" applyBorder="1" applyAlignment="1" applyProtection="1">
      <alignment horizontal="left" vertical="center" wrapText="1"/>
      <protection locked="0"/>
    </xf>
    <xf numFmtId="0" fontId="6" fillId="16" borderId="6" xfId="0" applyNumberFormat="1" applyFont="1" applyFill="1" applyBorder="1" applyAlignment="1" applyProtection="1">
      <alignment horizontal="left" vertical="center" wrapText="1"/>
      <protection locked="0"/>
    </xf>
    <xf numFmtId="49" fontId="0" fillId="0" borderId="5" xfId="0" applyNumberFormat="1" applyFont="1" applyBorder="1" applyAlignment="1">
      <alignment horizontal="center" vertical="top"/>
    </xf>
    <xf numFmtId="49" fontId="0" fillId="0" borderId="7" xfId="0" applyNumberFormat="1" applyFont="1" applyBorder="1" applyAlignment="1">
      <alignment horizontal="center"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9"/>
    <cellStyle name="Обычный 2 5" xfId="27"/>
    <cellStyle name="Обычный 20" xfId="30"/>
    <cellStyle name="Обычный 21" xfId="30"/>
    <cellStyle name="Обычный 22" xfId="30"/>
    <cellStyle name="Обычный 23" xfId="30"/>
    <cellStyle name="Обычный 3" xfId="23"/>
    <cellStyle name="Обычный 3 2" xfId="29"/>
    <cellStyle name="Обычный 3 3" xfId="31"/>
    <cellStyle name="Обычный 3 4" xfId="27"/>
    <cellStyle name="Обычный 4" xfId="32"/>
    <cellStyle name="Обычный 5" xfId="29"/>
    <cellStyle name="Обычный 6" xfId="29"/>
    <cellStyle name="Обычный 7"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luhaninaov@mures.ru" TargetMode="External"/><Relationship Id="rId2" Type="http://schemas.openxmlformats.org/officeDocument/2006/relationships/hyperlink" Target="https://npa.gov-murman.ru/bitrix/components/b1team/govmurman.element.file/download.php?ID=518761&amp;FID=765125" TargetMode="External"/><Relationship Id="rId1" Type="http://schemas.openxmlformats.org/officeDocument/2006/relationships/hyperlink" Target="https://npa.gov-murman.ru/bitrix/components/b1team/govmurman.element.file/download.php?ID=508464&amp;FID=750753"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4340" customWidth="1"/>
    <col min="2" max="2" width="9.140625" style="14340" customWidth="1"/>
    <col min="3" max="3" width="16.42578125" style="14340" customWidth="1"/>
    <col min="4" max="25" width="6.28515625" style="14340" customWidth="1"/>
    <col min="26" max="28" width="11" style="14340"/>
  </cols>
  <sheetData>
    <row r="1" spans="1:28" ht="15.75" customHeight="1">
      <c r="A1" s="1563"/>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5"/>
      <c r="Z1" s="1564"/>
      <c r="AA1" s="1566" t="s">
        <v>0</v>
      </c>
      <c r="AB1" s="1564"/>
    </row>
    <row r="2" spans="1:28" ht="17.25" customHeight="1">
      <c r="A2" s="1564"/>
      <c r="B2" s="15944" t="s">
        <v>1</v>
      </c>
      <c r="C2" s="15944"/>
      <c r="D2" s="15944"/>
      <c r="E2" s="15944"/>
      <c r="F2" s="15944"/>
      <c r="G2" s="15944"/>
      <c r="H2" s="15944"/>
      <c r="I2" s="15944"/>
      <c r="J2" s="15944"/>
      <c r="K2" s="15944"/>
      <c r="L2" s="15944"/>
      <c r="M2" s="15944"/>
      <c r="N2" s="15944"/>
      <c r="O2" s="15944"/>
      <c r="P2" s="15944"/>
      <c r="Q2" s="1567"/>
      <c r="R2" s="1567"/>
      <c r="S2" s="1567"/>
      <c r="T2" s="1567"/>
      <c r="U2" s="1567"/>
      <c r="V2" s="1568"/>
      <c r="W2" s="1567"/>
      <c r="X2" s="1567"/>
      <c r="Y2" s="1565"/>
      <c r="Z2" s="1564"/>
      <c r="AA2" s="1566"/>
      <c r="AB2" s="1564"/>
    </row>
    <row r="3" spans="1:28" ht="15.75" customHeight="1">
      <c r="A3" s="1564"/>
      <c r="B3" s="15945" t="s">
        <v>2</v>
      </c>
      <c r="C3" s="15945"/>
      <c r="D3" s="15945"/>
      <c r="E3" s="15945"/>
      <c r="F3" s="15945"/>
      <c r="G3" s="15945"/>
      <c r="H3" s="15945"/>
      <c r="I3" s="15945"/>
      <c r="J3" s="15945"/>
      <c r="K3" s="15945"/>
      <c r="L3" s="15945"/>
      <c r="M3" s="15945"/>
      <c r="N3" s="15945"/>
      <c r="O3" s="15945"/>
      <c r="P3" s="15945"/>
      <c r="Q3" s="1568"/>
      <c r="R3" s="1568"/>
      <c r="S3" s="1567"/>
      <c r="T3" s="1567"/>
      <c r="U3" s="1567"/>
      <c r="V3" s="1568"/>
      <c r="W3" s="1568"/>
      <c r="X3" s="1568"/>
      <c r="Y3" s="1568"/>
      <c r="Z3" s="1564"/>
      <c r="AA3" s="1566"/>
      <c r="AB3" s="1564"/>
    </row>
    <row r="4" spans="1:28" ht="17.25" customHeight="1">
      <c r="A4" s="1564"/>
      <c r="B4" s="1569"/>
      <c r="C4" s="1564"/>
      <c r="D4" s="1568"/>
      <c r="E4" s="1568"/>
      <c r="F4" s="1568"/>
      <c r="G4" s="1568"/>
      <c r="H4" s="1568"/>
      <c r="I4" s="1568"/>
      <c r="J4" s="1568"/>
      <c r="K4" s="1568"/>
      <c r="L4" s="1568"/>
      <c r="M4" s="1568"/>
      <c r="N4" s="1568"/>
      <c r="O4" s="1568"/>
      <c r="P4" s="1568"/>
      <c r="Q4" s="1568"/>
      <c r="R4" s="1568"/>
      <c r="S4" s="1568"/>
      <c r="T4" s="1568"/>
      <c r="U4" s="1568"/>
      <c r="V4" s="1568"/>
      <c r="W4" s="1568"/>
      <c r="X4" s="1568"/>
      <c r="Y4" s="1568"/>
      <c r="Z4" s="1564"/>
      <c r="AA4" s="1566"/>
      <c r="AB4" s="1564"/>
    </row>
    <row r="5" spans="1:28" ht="22.5" customHeight="1">
      <c r="A5" s="1570"/>
      <c r="B5" s="15946"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15947"/>
      <c r="D5" s="15947"/>
      <c r="E5" s="15947"/>
      <c r="F5" s="15947"/>
      <c r="G5" s="15947"/>
      <c r="H5" s="15947"/>
      <c r="I5" s="15947"/>
      <c r="J5" s="15947"/>
      <c r="K5" s="15947"/>
      <c r="L5" s="15947"/>
      <c r="M5" s="15947"/>
      <c r="N5" s="15947"/>
      <c r="O5" s="15947"/>
      <c r="P5" s="15947"/>
      <c r="Q5" s="15947"/>
      <c r="R5" s="15947"/>
      <c r="S5" s="15947"/>
      <c r="T5" s="15947"/>
      <c r="U5" s="15947"/>
      <c r="V5" s="15947"/>
      <c r="W5" s="15947"/>
      <c r="X5" s="15947"/>
      <c r="Y5" s="15948"/>
      <c r="Z5" s="1570"/>
      <c r="AA5" s="1566"/>
      <c r="AB5" s="1570"/>
    </row>
    <row r="6" spans="1:28" ht="15" customHeight="1">
      <c r="A6" s="1571"/>
      <c r="B6" s="15949" t="s">
        <v>3</v>
      </c>
      <c r="C6" s="15950"/>
      <c r="D6" s="1572"/>
      <c r="E6" s="1572"/>
      <c r="F6" s="1572"/>
      <c r="G6" s="1572"/>
      <c r="H6" s="1572"/>
      <c r="I6" s="1572"/>
      <c r="J6" s="1572"/>
      <c r="K6" s="1572"/>
      <c r="L6" s="1572"/>
      <c r="M6" s="1572"/>
      <c r="N6" s="1572"/>
      <c r="O6" s="1572"/>
      <c r="P6" s="1572"/>
      <c r="Q6" s="1572"/>
      <c r="R6" s="1572"/>
      <c r="S6" s="1572"/>
      <c r="T6" s="1572"/>
      <c r="U6" s="1572"/>
      <c r="V6" s="1572"/>
      <c r="W6" s="1572"/>
      <c r="X6" s="1572"/>
      <c r="Y6" s="1573"/>
      <c r="Z6" s="1574"/>
      <c r="AA6" s="1575"/>
      <c r="AB6" s="1575"/>
    </row>
    <row r="7" spans="1:28" ht="15" customHeight="1">
      <c r="A7" s="1571"/>
      <c r="B7" s="15949"/>
      <c r="C7" s="15950"/>
      <c r="D7" s="1572"/>
      <c r="E7" s="1572"/>
      <c r="F7" s="1576"/>
      <c r="G7" s="1576"/>
      <c r="H7" s="1576"/>
      <c r="I7" s="1576"/>
      <c r="J7" s="1576"/>
      <c r="K7" s="1576"/>
      <c r="L7" s="1576"/>
      <c r="M7" s="1576"/>
      <c r="N7" s="1576"/>
      <c r="O7" s="1572"/>
      <c r="P7" s="1576"/>
      <c r="Q7" s="1576"/>
      <c r="R7" s="1576"/>
      <c r="S7" s="1576"/>
      <c r="T7" s="1576"/>
      <c r="U7" s="1576"/>
      <c r="V7" s="1576"/>
      <c r="W7" s="1576"/>
      <c r="X7" s="1576"/>
      <c r="Y7" s="1573"/>
      <c r="Z7" s="1574"/>
      <c r="AA7" s="1575"/>
      <c r="AB7" s="1575"/>
    </row>
    <row r="8" spans="1:28" ht="15" customHeight="1">
      <c r="A8" s="1571"/>
      <c r="B8" s="15949"/>
      <c r="C8" s="15950"/>
      <c r="D8" s="1577"/>
      <c r="E8" s="1578" t="s">
        <v>4</v>
      </c>
      <c r="F8" s="15952" t="s">
        <v>5</v>
      </c>
      <c r="G8" s="15953"/>
      <c r="H8" s="15953"/>
      <c r="I8" s="15953"/>
      <c r="J8" s="15953"/>
      <c r="K8" s="15953"/>
      <c r="L8" s="15953"/>
      <c r="M8" s="15953"/>
      <c r="N8" s="1577"/>
      <c r="O8" s="1579" t="s">
        <v>4</v>
      </c>
      <c r="P8" s="15954" t="s">
        <v>6</v>
      </c>
      <c r="Q8" s="15955"/>
      <c r="R8" s="15955"/>
      <c r="S8" s="15955"/>
      <c r="T8" s="15955"/>
      <c r="U8" s="15955"/>
      <c r="V8" s="15955"/>
      <c r="W8" s="15955"/>
      <c r="X8" s="15955"/>
      <c r="Y8" s="1573"/>
      <c r="Z8" s="1574"/>
      <c r="AA8" s="1575"/>
      <c r="AB8" s="1575"/>
    </row>
    <row r="9" spans="1:28" ht="15" customHeight="1">
      <c r="A9" s="1571"/>
      <c r="B9" s="15949"/>
      <c r="C9" s="15950"/>
      <c r="D9" s="1577"/>
      <c r="E9" s="1580" t="s">
        <v>4</v>
      </c>
      <c r="F9" s="15952" t="s">
        <v>7</v>
      </c>
      <c r="G9" s="15953"/>
      <c r="H9" s="15953"/>
      <c r="I9" s="15953"/>
      <c r="J9" s="15953"/>
      <c r="K9" s="15953"/>
      <c r="L9" s="15953"/>
      <c r="M9" s="15953"/>
      <c r="N9" s="1577"/>
      <c r="O9" s="1581" t="s">
        <v>4</v>
      </c>
      <c r="P9" s="15954" t="s">
        <v>8</v>
      </c>
      <c r="Q9" s="15955"/>
      <c r="R9" s="15955"/>
      <c r="S9" s="15955"/>
      <c r="T9" s="15955"/>
      <c r="U9" s="15955"/>
      <c r="V9" s="15955"/>
      <c r="W9" s="15955"/>
      <c r="X9" s="15955"/>
      <c r="Y9" s="1573"/>
      <c r="Z9" s="1574"/>
      <c r="AA9" s="1575"/>
      <c r="AB9" s="1575"/>
    </row>
    <row r="10" spans="1:28" ht="30" customHeight="1">
      <c r="A10" s="1571"/>
      <c r="B10" s="15949"/>
      <c r="C10" s="15951"/>
      <c r="D10" s="1582"/>
      <c r="E10" s="1583"/>
      <c r="F10" s="1576"/>
      <c r="G10" s="1576"/>
      <c r="H10" s="1576"/>
      <c r="I10" s="1576"/>
      <c r="J10" s="1576"/>
      <c r="K10" s="1576"/>
      <c r="L10" s="1576"/>
      <c r="M10" s="1576"/>
      <c r="N10" s="1576"/>
      <c r="O10" s="1583"/>
      <c r="P10" s="1576"/>
      <c r="Q10" s="1576"/>
      <c r="R10" s="1576"/>
      <c r="S10" s="1576"/>
      <c r="T10" s="1576"/>
      <c r="U10" s="1576"/>
      <c r="V10" s="1576"/>
      <c r="W10" s="1576"/>
      <c r="X10" s="1576"/>
      <c r="Y10" s="1573"/>
      <c r="Z10" s="1574"/>
      <c r="AA10" s="1575"/>
      <c r="AB10" s="1575"/>
    </row>
    <row r="11" spans="1:28" ht="19.5" customHeight="1">
      <c r="A11" s="1571"/>
      <c r="B11" s="15956" t="s">
        <v>9</v>
      </c>
      <c r="C11" s="15957"/>
      <c r="D11" s="1577"/>
      <c r="E11" s="1584"/>
      <c r="F11" s="1584"/>
      <c r="G11" s="1584"/>
      <c r="H11" s="1584"/>
      <c r="I11" s="1584"/>
      <c r="J11" s="1584"/>
      <c r="K11" s="1584"/>
      <c r="L11" s="1584"/>
      <c r="M11" s="1584"/>
      <c r="N11" s="1584"/>
      <c r="O11" s="1584"/>
      <c r="P11" s="1584"/>
      <c r="Q11" s="1584"/>
      <c r="R11" s="1584"/>
      <c r="S11" s="1584"/>
      <c r="T11" s="1584"/>
      <c r="U11" s="1584"/>
      <c r="V11" s="1584"/>
      <c r="W11" s="1584"/>
      <c r="X11" s="1584"/>
      <c r="Y11" s="1573"/>
      <c r="Z11" s="1574"/>
      <c r="AA11" s="1575"/>
      <c r="AB11" s="1575"/>
    </row>
    <row r="12" spans="1:28" ht="69" customHeight="1">
      <c r="A12" s="1571"/>
      <c r="B12" s="15949"/>
      <c r="C12" s="15951"/>
      <c r="D12" s="1585"/>
      <c r="E12" s="15953" t="s">
        <v>10</v>
      </c>
      <c r="F12" s="15953"/>
      <c r="G12" s="15953"/>
      <c r="H12" s="15953"/>
      <c r="I12" s="15953"/>
      <c r="J12" s="15953"/>
      <c r="K12" s="15953"/>
      <c r="L12" s="15953"/>
      <c r="M12" s="15953"/>
      <c r="N12" s="15953"/>
      <c r="O12" s="15953"/>
      <c r="P12" s="15953"/>
      <c r="Q12" s="15953"/>
      <c r="R12" s="15953"/>
      <c r="S12" s="15953"/>
      <c r="T12" s="15953"/>
      <c r="U12" s="15953"/>
      <c r="V12" s="15953"/>
      <c r="W12" s="15953"/>
      <c r="X12" s="15953"/>
      <c r="Y12" s="1573"/>
      <c r="Z12" s="1574"/>
      <c r="AA12" s="1575"/>
      <c r="AB12" s="1575"/>
    </row>
    <row r="13" spans="1:28" ht="15" customHeight="1">
      <c r="A13" s="1571"/>
      <c r="B13" s="15956" t="s">
        <v>11</v>
      </c>
      <c r="C13" s="15957"/>
      <c r="D13" s="1572"/>
      <c r="E13" s="1584"/>
      <c r="F13" s="1584"/>
      <c r="G13" s="1584"/>
      <c r="H13" s="1584"/>
      <c r="I13" s="1584"/>
      <c r="J13" s="1584"/>
      <c r="K13" s="1584"/>
      <c r="L13" s="1584"/>
      <c r="M13" s="1584"/>
      <c r="N13" s="1584"/>
      <c r="O13" s="1584"/>
      <c r="P13" s="1584"/>
      <c r="Q13" s="1584"/>
      <c r="R13" s="1584"/>
      <c r="S13" s="1584"/>
      <c r="T13" s="1584"/>
      <c r="U13" s="1584"/>
      <c r="V13" s="1584"/>
      <c r="W13" s="1584"/>
      <c r="X13" s="1584"/>
      <c r="Y13" s="1573"/>
      <c r="Z13" s="1574"/>
      <c r="AA13" s="1575"/>
      <c r="AB13" s="1575"/>
    </row>
    <row r="14" spans="1:28" ht="57" customHeight="1">
      <c r="A14" s="1571"/>
      <c r="B14" s="15949"/>
      <c r="C14" s="15950"/>
      <c r="D14" s="1577"/>
      <c r="E14" s="15960" t="s">
        <v>12</v>
      </c>
      <c r="F14" s="15960"/>
      <c r="G14" s="15960"/>
      <c r="H14" s="15960"/>
      <c r="I14" s="15960"/>
      <c r="J14" s="15960"/>
      <c r="K14" s="15960"/>
      <c r="L14" s="15960"/>
      <c r="M14" s="15960"/>
      <c r="N14" s="15960"/>
      <c r="O14" s="15960"/>
      <c r="P14" s="15960"/>
      <c r="Q14" s="15960"/>
      <c r="R14" s="15960"/>
      <c r="S14" s="15960"/>
      <c r="T14" s="15960"/>
      <c r="U14" s="15960"/>
      <c r="V14" s="15960"/>
      <c r="W14" s="15960"/>
      <c r="X14" s="15960"/>
      <c r="Y14" s="1573"/>
      <c r="Z14" s="1574"/>
      <c r="AA14" s="1575"/>
      <c r="AB14" s="1575"/>
    </row>
    <row r="15" spans="1:28" ht="16.5" customHeight="1">
      <c r="A15" s="1571"/>
      <c r="B15" s="15958"/>
      <c r="C15" s="15959"/>
      <c r="D15" s="1586"/>
      <c r="E15" s="1587"/>
      <c r="F15" s="1587"/>
      <c r="G15" s="1587"/>
      <c r="H15" s="1587"/>
      <c r="I15" s="1587"/>
      <c r="J15" s="1587"/>
      <c r="K15" s="1587"/>
      <c r="L15" s="1587"/>
      <c r="M15" s="1587"/>
      <c r="N15" s="1587"/>
      <c r="O15" s="1587"/>
      <c r="P15" s="1587"/>
      <c r="Q15" s="1587"/>
      <c r="R15" s="1587"/>
      <c r="S15" s="1587"/>
      <c r="T15" s="1587"/>
      <c r="U15" s="1587"/>
      <c r="V15" s="1587"/>
      <c r="W15" s="1587"/>
      <c r="X15" s="1587"/>
      <c r="Y15" s="1588"/>
      <c r="Z15" s="1574"/>
      <c r="AA15" s="1589"/>
      <c r="AB15" s="1575"/>
    </row>
    <row r="16" spans="1:28" ht="95.25" customHeight="1">
      <c r="A16" s="1564"/>
      <c r="B16" s="15960"/>
      <c r="C16" s="15961"/>
      <c r="D16" s="15961"/>
      <c r="E16" s="15961"/>
      <c r="F16" s="15961"/>
      <c r="G16" s="15961"/>
      <c r="H16" s="15961"/>
      <c r="I16" s="15961"/>
      <c r="J16" s="15961"/>
      <c r="K16" s="15961"/>
      <c r="L16" s="15961"/>
      <c r="M16" s="15961"/>
      <c r="N16" s="15961"/>
      <c r="O16" s="15961"/>
      <c r="P16" s="15961"/>
      <c r="Q16" s="15961"/>
      <c r="R16" s="15961"/>
      <c r="S16" s="15961"/>
      <c r="T16" s="15961"/>
      <c r="U16" s="15961"/>
      <c r="V16" s="15961"/>
      <c r="W16" s="15961"/>
      <c r="X16" s="15961"/>
      <c r="Y16" s="15961"/>
      <c r="Z16" s="1564"/>
      <c r="AA16" s="1566"/>
      <c r="AB16" s="1564"/>
    </row>
    <row r="17" spans="1:28" ht="14.25" customHeight="1">
      <c r="A17" s="1564"/>
      <c r="B17" s="1564"/>
      <c r="C17" s="1564"/>
      <c r="D17" s="1564"/>
      <c r="E17" s="1564"/>
      <c r="F17" s="1564"/>
      <c r="G17" s="1564"/>
      <c r="H17" s="1564"/>
      <c r="I17" s="1564"/>
      <c r="J17" s="1564"/>
      <c r="K17" s="1564"/>
      <c r="L17" s="1564"/>
      <c r="M17" s="1564"/>
      <c r="N17" s="1564"/>
      <c r="O17" s="1564"/>
      <c r="P17" s="1564"/>
      <c r="Q17" s="1564"/>
      <c r="R17" s="1564"/>
      <c r="S17" s="1564"/>
      <c r="T17" s="1564"/>
      <c r="U17" s="1564"/>
      <c r="V17" s="1564"/>
      <c r="W17" s="1564"/>
      <c r="X17" s="1564"/>
      <c r="Y17" s="1565"/>
      <c r="Z17" s="1564"/>
      <c r="AA17" s="1566"/>
      <c r="AB17" s="1564"/>
    </row>
    <row r="18" spans="1:28" ht="14.25" customHeight="1">
      <c r="A18" s="1564"/>
      <c r="B18" s="1564"/>
      <c r="C18" s="1564"/>
      <c r="D18" s="1564"/>
      <c r="E18" s="1564"/>
      <c r="F18" s="1564"/>
      <c r="G18" s="1564"/>
      <c r="H18" s="1564"/>
      <c r="I18" s="1564"/>
      <c r="J18" s="1564"/>
      <c r="K18" s="1564"/>
      <c r="L18" s="1564"/>
      <c r="M18" s="1564"/>
      <c r="N18" s="1564"/>
      <c r="O18" s="1564"/>
      <c r="P18" s="1564"/>
      <c r="Q18" s="1564"/>
      <c r="R18" s="1564"/>
      <c r="S18" s="1564"/>
      <c r="T18" s="1564"/>
      <c r="U18" s="1564"/>
      <c r="V18" s="1564"/>
      <c r="W18" s="1564"/>
      <c r="X18" s="1564"/>
      <c r="Y18" s="1565"/>
      <c r="Z18" s="1564"/>
      <c r="AA18" s="1566"/>
      <c r="AB18" s="1564"/>
    </row>
    <row r="19" spans="1:28" ht="14.25" customHeight="1">
      <c r="A19" s="1564"/>
      <c r="B19" s="1564"/>
      <c r="C19" s="1564"/>
      <c r="D19" s="1564"/>
      <c r="E19" s="1564"/>
      <c r="F19" s="1564"/>
      <c r="G19" s="1564"/>
      <c r="H19" s="1564"/>
      <c r="I19" s="1564"/>
      <c r="J19" s="1564"/>
      <c r="K19" s="1564"/>
      <c r="L19" s="1564"/>
      <c r="M19" s="1564"/>
      <c r="N19" s="1564"/>
      <c r="O19" s="1564"/>
      <c r="P19" s="1564"/>
      <c r="Q19" s="1564"/>
      <c r="R19" s="1564"/>
      <c r="S19" s="1564"/>
      <c r="T19" s="1564"/>
      <c r="U19" s="1564"/>
      <c r="V19" s="1564"/>
      <c r="W19" s="1564"/>
      <c r="X19" s="1564"/>
      <c r="Y19" s="1565"/>
      <c r="Z19" s="1564"/>
      <c r="AA19" s="1566"/>
      <c r="AB19" s="1564"/>
    </row>
    <row r="20" spans="1:28" ht="14.25" customHeight="1">
      <c r="A20" s="1564"/>
      <c r="B20" s="1564"/>
      <c r="C20" s="1564"/>
      <c r="D20" s="1564"/>
      <c r="E20" s="1564"/>
      <c r="F20" s="1564"/>
      <c r="G20" s="1564"/>
      <c r="H20" s="1564"/>
      <c r="I20" s="1564"/>
      <c r="J20" s="1564"/>
      <c r="K20" s="1564"/>
      <c r="L20" s="1564"/>
      <c r="M20" s="1564"/>
      <c r="N20" s="1564"/>
      <c r="O20" s="1564"/>
      <c r="P20" s="1564"/>
      <c r="Q20" s="1564"/>
      <c r="R20" s="1564"/>
      <c r="S20" s="1564"/>
      <c r="T20" s="1564"/>
      <c r="U20" s="1564"/>
      <c r="V20" s="1564"/>
      <c r="W20" s="1564"/>
      <c r="X20" s="1564"/>
      <c r="Y20" s="1565"/>
      <c r="Z20" s="1564"/>
      <c r="AA20" s="1566"/>
      <c r="AB20" s="1564"/>
    </row>
    <row r="21" spans="1:28" ht="14.25" customHeight="1">
      <c r="A21" s="1564"/>
      <c r="B21" s="1564"/>
      <c r="C21" s="1564"/>
      <c r="D21" s="1564"/>
      <c r="E21" s="1564"/>
      <c r="F21" s="1564"/>
      <c r="G21" s="1564"/>
      <c r="H21" s="1564"/>
      <c r="I21" s="1564"/>
      <c r="J21" s="1564"/>
      <c r="K21" s="1564"/>
      <c r="L21" s="1564"/>
      <c r="M21" s="1564"/>
      <c r="N21" s="1564"/>
      <c r="O21" s="1564"/>
      <c r="P21" s="1564"/>
      <c r="Q21" s="1564"/>
      <c r="R21" s="1564"/>
      <c r="S21" s="1564"/>
      <c r="T21" s="1564"/>
      <c r="U21" s="1564"/>
      <c r="V21" s="1564"/>
      <c r="W21" s="1564"/>
      <c r="X21" s="1564"/>
      <c r="Y21" s="1565"/>
      <c r="Z21" s="1564"/>
      <c r="AA21" s="1566"/>
      <c r="AB21" s="156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30" sqref="F30"/>
    </sheetView>
  </sheetViews>
  <sheetFormatPr defaultColWidth="9.140625" defaultRowHeight="11.25" customHeight="1"/>
  <cols>
    <col min="1" max="1" width="10.7109375" style="14348" hidden="1" customWidth="1"/>
    <col min="2" max="2" width="10.7109375" style="14349" hidden="1" customWidth="1"/>
    <col min="3" max="3" width="3.7109375" style="14350" customWidth="1"/>
    <col min="4" max="4" width="1.7109375" style="14351" customWidth="1"/>
    <col min="5" max="5" width="55.28515625" style="14351" customWidth="1"/>
    <col min="6" max="6" width="55" style="14351" customWidth="1"/>
    <col min="7" max="7" width="1.7109375" style="14352" customWidth="1"/>
    <col min="8" max="8" width="18" style="14344" hidden="1" customWidth="1"/>
    <col min="9" max="9" width="59.7109375" style="14353" customWidth="1"/>
    <col min="10" max="10" width="52.140625" style="14354" hidden="1" customWidth="1"/>
    <col min="11" max="11" width="9.140625" style="14351"/>
    <col min="12" max="12" width="78" style="14351" customWidth="1"/>
    <col min="13" max="16" width="9.140625" style="14351"/>
  </cols>
  <sheetData>
    <row r="1" spans="1:11" s="14341" customFormat="1" ht="3" customHeight="1">
      <c r="A1" s="681"/>
      <c r="B1" s="160"/>
      <c r="F1" s="161">
        <v>26354809</v>
      </c>
      <c r="G1" s="326"/>
      <c r="H1" s="9"/>
      <c r="I1" s="326"/>
      <c r="J1" s="765"/>
    </row>
    <row r="2" spans="1:11" s="14342" customFormat="1" ht="14.25" customHeight="1">
      <c r="A2" s="681"/>
      <c r="B2" s="33"/>
      <c r="E2" s="1602" t="str">
        <f>code</f>
        <v>Код отчёта: PP108.OPEN.INFO.PRICE.HOTVSNA.EIAS</v>
      </c>
      <c r="F2" s="188"/>
      <c r="G2" s="164"/>
      <c r="H2" s="164"/>
      <c r="I2" s="164"/>
      <c r="J2" s="766"/>
      <c r="K2" s="164"/>
    </row>
    <row r="3" spans="1:11" ht="14.25" customHeight="1">
      <c r="E3" s="165" t="str">
        <f>version</f>
        <v>Версия отчёта: 1.0.7</v>
      </c>
      <c r="F3" s="188"/>
      <c r="G3" s="668"/>
      <c r="H3" s="668"/>
      <c r="I3" s="668"/>
      <c r="J3" s="767"/>
      <c r="K3" s="24"/>
    </row>
    <row r="4" spans="1:11" s="14343" customFormat="1" ht="6" customHeight="1">
      <c r="A4" s="682"/>
      <c r="B4" s="152"/>
      <c r="C4" s="153"/>
      <c r="D4" s="154"/>
      <c r="E4" s="162"/>
      <c r="F4" s="163"/>
      <c r="G4" s="669"/>
      <c r="H4" s="324"/>
      <c r="I4" s="326"/>
      <c r="J4" s="768"/>
    </row>
    <row r="5" spans="1:11" ht="37.5" customHeight="1">
      <c r="D5" s="11"/>
      <c r="E5" s="15962" t="str">
        <f>NameTemplatesInTitle</f>
        <v>Показатели, подлежащие раскрытию в сфере горячего водоснабжения (цены и тарифы)</v>
      </c>
      <c r="F5" s="15963"/>
      <c r="G5" s="670"/>
      <c r="J5" s="769"/>
    </row>
    <row r="6" spans="1:11" s="14343" customFormat="1" ht="6" customHeight="1">
      <c r="A6" s="682"/>
      <c r="B6" s="152"/>
      <c r="C6" s="153"/>
      <c r="D6" s="154"/>
      <c r="E6" s="156"/>
      <c r="F6" s="157"/>
      <c r="G6" s="670"/>
      <c r="H6" s="324"/>
      <c r="I6" s="326"/>
      <c r="J6" s="768"/>
    </row>
    <row r="7" spans="1:11" ht="19.5" customHeight="1">
      <c r="D7" s="11"/>
      <c r="E7" s="306" t="s">
        <v>13</v>
      </c>
      <c r="F7" s="137" t="s">
        <v>14</v>
      </c>
      <c r="G7" s="670"/>
    </row>
    <row r="8" spans="1:11" s="14343" customFormat="1" ht="6" customHeight="1">
      <c r="A8" s="683"/>
      <c r="B8" s="152"/>
      <c r="C8" s="153"/>
      <c r="D8" s="158"/>
      <c r="E8" s="156"/>
      <c r="F8" s="159"/>
      <c r="G8" s="13"/>
      <c r="H8" s="324"/>
      <c r="I8" s="326"/>
      <c r="J8" s="771"/>
    </row>
    <row r="9" spans="1:11" s="14344" customFormat="1" ht="19.5" hidden="1" customHeight="1">
      <c r="A9" s="682"/>
      <c r="B9" s="33"/>
      <c r="C9" s="323"/>
      <c r="D9" s="325"/>
      <c r="E9" s="1046" t="s">
        <v>15</v>
      </c>
      <c r="F9" s="1781"/>
      <c r="G9" s="670"/>
      <c r="I9" s="1760" t="str">
        <f>IF(TITLE_STRUCTURE_INFO_ROIV="","","раскрывается "&amp;INDEX(ROIV_INFO_COMMENT,MATCH(TITLE_STRUCTURE_INFO_ROIV,ROIV_INFO_LIST,0)))</f>
        <v/>
      </c>
      <c r="J9" s="770"/>
    </row>
    <row r="10" spans="1:11" s="14345" customFormat="1" ht="6" customHeight="1">
      <c r="A10" s="683"/>
      <c r="B10" s="340"/>
      <c r="C10" s="341"/>
      <c r="D10" s="158"/>
      <c r="E10" s="156"/>
      <c r="F10" s="159"/>
      <c r="G10" s="13"/>
      <c r="H10" s="324"/>
      <c r="I10" s="326"/>
      <c r="J10" s="771"/>
    </row>
    <row r="11" spans="1:11" ht="22.5" customHeight="1">
      <c r="A11" s="15965" t="s">
        <v>16</v>
      </c>
      <c r="D11" s="11"/>
      <c r="E11" s="1046" t="s">
        <v>17</v>
      </c>
      <c r="F11" s="1845">
        <v>45292</v>
      </c>
      <c r="G11" s="13"/>
      <c r="H11" s="671" t="s">
        <v>18</v>
      </c>
      <c r="J11" s="770" t="s">
        <v>19</v>
      </c>
    </row>
    <row r="12" spans="1:11" ht="22.5" customHeight="1">
      <c r="A12" s="15965"/>
      <c r="D12" s="11"/>
      <c r="E12" s="1046" t="s">
        <v>20</v>
      </c>
      <c r="F12" s="1845">
        <v>47118</v>
      </c>
      <c r="G12" s="10"/>
      <c r="J12" s="770" t="s">
        <v>21</v>
      </c>
    </row>
    <row r="13" spans="1:11" s="14344" customFormat="1" ht="22.5" hidden="1" customHeight="1">
      <c r="A13" s="686" t="s">
        <v>22</v>
      </c>
      <c r="B13" s="33"/>
      <c r="C13" s="323"/>
      <c r="D13" s="325"/>
      <c r="E13" s="1637" t="s">
        <v>23</v>
      </c>
      <c r="F13" s="1594" t="s">
        <v>24</v>
      </c>
      <c r="G13" s="13"/>
      <c r="H13" s="668"/>
      <c r="I13" s="326"/>
      <c r="J13" s="1638" t="s">
        <v>25</v>
      </c>
    </row>
    <row r="14" spans="1:11" s="14344" customFormat="1" ht="27" hidden="1" customHeight="1">
      <c r="A14" s="686" t="s">
        <v>26</v>
      </c>
      <c r="B14" s="33"/>
      <c r="C14" s="323"/>
      <c r="D14" s="325"/>
      <c r="E14" s="1046" t="s">
        <v>27</v>
      </c>
      <c r="F14" s="1629"/>
      <c r="G14" s="13"/>
      <c r="H14" s="668"/>
      <c r="I14" s="326"/>
      <c r="J14" s="770" t="s">
        <v>28</v>
      </c>
    </row>
    <row r="15" spans="1:11" s="14344" customFormat="1" ht="19.5" hidden="1" customHeight="1">
      <c r="A15" s="686" t="s">
        <v>29</v>
      </c>
      <c r="B15" s="33"/>
      <c r="C15" s="323"/>
      <c r="D15" s="325"/>
      <c r="E15" s="1046" t="s">
        <v>30</v>
      </c>
      <c r="F15" s="1629"/>
      <c r="G15" s="13"/>
      <c r="H15" s="668"/>
      <c r="I15" s="326"/>
      <c r="J15" s="770" t="s">
        <v>31</v>
      </c>
    </row>
    <row r="16" spans="1:11" s="14343" customFormat="1" ht="6" customHeight="1">
      <c r="A16" s="683"/>
      <c r="B16" s="152"/>
      <c r="C16" s="153"/>
      <c r="D16" s="158"/>
      <c r="E16" s="156"/>
      <c r="F16" s="159"/>
      <c r="G16" s="13"/>
      <c r="H16" s="324"/>
      <c r="I16" s="326"/>
      <c r="J16" s="768"/>
    </row>
    <row r="17" spans="1:10" ht="19.5" customHeight="1">
      <c r="D17" s="11"/>
      <c r="E17" s="306" t="s">
        <v>32</v>
      </c>
      <c r="F17" s="14336" t="s">
        <v>33</v>
      </c>
      <c r="G17" s="10"/>
      <c r="H17" s="671" t="s">
        <v>18</v>
      </c>
    </row>
    <row r="18" spans="1:10" ht="25.5" customHeight="1">
      <c r="D18" s="11"/>
      <c r="E18" s="1637" t="s">
        <v>34</v>
      </c>
      <c r="F18" s="14346">
        <v>45379</v>
      </c>
      <c r="G18" s="10"/>
      <c r="I18" s="672"/>
      <c r="J18" s="15964" t="s">
        <v>35</v>
      </c>
    </row>
    <row r="19" spans="1:10" ht="25.5" customHeight="1">
      <c r="D19" s="11"/>
      <c r="E19" s="104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4346">
        <v>45379</v>
      </c>
      <c r="G19" s="10"/>
      <c r="I19" s="672"/>
      <c r="J19" s="15964"/>
    </row>
    <row r="20" spans="1:10" ht="22.5" customHeight="1">
      <c r="D20" s="11"/>
      <c r="E20" s="12"/>
      <c r="F20" s="189" t="str">
        <f>"Первичное "&amp;IF(TEMPLATE_GROUP="P","установление тарифов","предложение по тарифам")</f>
        <v>Первичное установление тарифов</v>
      </c>
      <c r="G20" s="10"/>
      <c r="I20" s="309"/>
      <c r="J20" s="769" t="s">
        <v>36</v>
      </c>
    </row>
    <row r="21" spans="1:10" ht="19.5" customHeight="1">
      <c r="D21" s="11"/>
      <c r="E21" s="306" t="str">
        <f>"Дата "&amp;IF(TEMPLATE_GROUP="P","документа","подачи заявления")&amp;" об утверждении тарифов"</f>
        <v>Дата документа об утверждении тарифов</v>
      </c>
      <c r="F21" s="14346">
        <v>45280</v>
      </c>
      <c r="G21" s="10"/>
      <c r="I21" s="673"/>
    </row>
    <row r="22" spans="1:10" ht="19.5" customHeight="1">
      <c r="D22" s="11"/>
      <c r="E22" s="306" t="str">
        <f>"Номер "&amp;IF(TEMPLATE_GROUP="P","документа","подачи заявления")&amp;" об утверждении тарифов"</f>
        <v>Номер документа об утверждении тарифов</v>
      </c>
      <c r="F22" s="138" t="s">
        <v>37</v>
      </c>
      <c r="G22" s="10"/>
      <c r="I22" s="673"/>
    </row>
    <row r="23" spans="1:10" ht="22.5" customHeight="1">
      <c r="D23" s="11"/>
      <c r="E23" s="306" t="s">
        <v>38</v>
      </c>
      <c r="F23" s="138" t="s">
        <v>39</v>
      </c>
      <c r="G23" s="10"/>
    </row>
    <row r="24" spans="1:10" ht="19.5" customHeight="1">
      <c r="D24" s="11"/>
      <c r="E24" s="306" t="s">
        <v>40</v>
      </c>
      <c r="F24" s="1846" t="s">
        <v>41</v>
      </c>
      <c r="G24" s="10"/>
    </row>
    <row r="25" spans="1:10" ht="22.5" customHeight="1">
      <c r="D25" s="11"/>
      <c r="E25" s="12"/>
      <c r="F25" s="189" t="str">
        <f>"Изменение "&amp;IF(TEMPLATE_GROUP="P","тарифов","предложения по тарифам")</f>
        <v>Изменение тарифов</v>
      </c>
      <c r="G25" s="10"/>
      <c r="J25" s="769" t="s">
        <v>42</v>
      </c>
    </row>
    <row r="26" spans="1:10" ht="19.5" customHeight="1">
      <c r="D26" s="11"/>
      <c r="E26" s="306" t="str">
        <f>"Дата "&amp;IF(TEMPLATE_GROUP="P","принятия решения","подачи заявления")&amp;" об изменении тарифов"</f>
        <v>Дата принятия решения об изменении тарифов</v>
      </c>
      <c r="F26" s="14346">
        <v>45379</v>
      </c>
      <c r="G26" s="10"/>
    </row>
    <row r="27" spans="1:10" ht="19.5" customHeight="1">
      <c r="D27" s="11"/>
      <c r="E27" s="1046" t="str">
        <f>"Номер "&amp;IF(TEMPLATE_GROUP="P","принятия решения","заявления")&amp;" об изменении тарифов"</f>
        <v>Номер принятия решения об изменении тарифов</v>
      </c>
      <c r="F27" s="14337" t="s">
        <v>43</v>
      </c>
      <c r="G27" s="10"/>
    </row>
    <row r="28" spans="1:10" ht="24.75" customHeight="1">
      <c r="D28" s="11"/>
      <c r="E28" s="306" t="s">
        <v>44</v>
      </c>
      <c r="F28" s="14337" t="s">
        <v>39</v>
      </c>
      <c r="G28" s="10"/>
    </row>
    <row r="29" spans="1:10" ht="19.5" customHeight="1">
      <c r="D29" s="11"/>
      <c r="E29" s="306" t="s">
        <v>40</v>
      </c>
      <c r="F29" s="14338" t="s">
        <v>45</v>
      </c>
      <c r="G29" s="10"/>
    </row>
    <row r="30" spans="1:10" s="14343" customFormat="1" ht="6" customHeight="1">
      <c r="A30" s="683"/>
      <c r="B30" s="152"/>
      <c r="C30" s="153"/>
      <c r="D30" s="158"/>
      <c r="E30" s="156"/>
      <c r="F30" s="159"/>
      <c r="G30" s="13"/>
      <c r="H30" s="324"/>
      <c r="I30" s="326"/>
      <c r="J30" s="768"/>
    </row>
    <row r="31" spans="1:10" ht="19.5" customHeight="1">
      <c r="C31" s="14"/>
      <c r="D31" s="15"/>
      <c r="E31" s="306" t="str">
        <f>"Наименование "&amp;IF(TEMPLATE_GROUP="ROIV","органа тарифного регулирования","ЮЛ / ИП")</f>
        <v>Наименование ЮЛ / ИП</v>
      </c>
      <c r="F31" s="139" t="s">
        <v>46</v>
      </c>
      <c r="G31" s="674"/>
    </row>
    <row r="32" spans="1:10" ht="19.5" hidden="1" customHeight="1">
      <c r="C32" s="14"/>
      <c r="D32" s="15"/>
      <c r="E32" s="307" t="s">
        <v>47</v>
      </c>
      <c r="F32" s="139"/>
      <c r="G32" s="674"/>
    </row>
    <row r="33" spans="1:10" ht="19.5" customHeight="1">
      <c r="C33" s="14"/>
      <c r="D33" s="15"/>
      <c r="E33" s="306" t="s">
        <v>48</v>
      </c>
      <c r="F33" s="139" t="s">
        <v>49</v>
      </c>
      <c r="G33" s="674"/>
    </row>
    <row r="34" spans="1:10" ht="19.5" customHeight="1">
      <c r="C34" s="14"/>
      <c r="D34" s="15"/>
      <c r="E34" s="306" t="s">
        <v>50</v>
      </c>
      <c r="F34" s="139" t="s">
        <v>51</v>
      </c>
      <c r="G34" s="674"/>
      <c r="H34" s="16"/>
    </row>
    <row r="35" spans="1:10" s="14343" customFormat="1" ht="11.25" customHeight="1">
      <c r="A35" s="683"/>
      <c r="B35" s="152"/>
      <c r="C35" s="153"/>
      <c r="D35" s="158"/>
      <c r="E35" s="156"/>
      <c r="F35" s="159"/>
      <c r="G35" s="13"/>
      <c r="H35" s="324"/>
      <c r="I35" s="326"/>
      <c r="J35" s="768"/>
    </row>
    <row r="36" spans="1:10" ht="19.5" hidden="1" customHeight="1">
      <c r="A36" s="773"/>
      <c r="D36" s="15"/>
      <c r="E36" s="306" t="s">
        <v>52</v>
      </c>
      <c r="F36" s="264"/>
      <c r="G36" s="13"/>
    </row>
    <row r="37" spans="1:10" ht="19.5" customHeight="1">
      <c r="A37" s="773"/>
      <c r="D37" s="15"/>
      <c r="E37" s="306" t="s">
        <v>53</v>
      </c>
      <c r="F37" s="1847" t="s">
        <v>54</v>
      </c>
      <c r="G37" s="13"/>
    </row>
    <row r="38" spans="1:10" s="14343" customFormat="1" ht="6" customHeight="1">
      <c r="A38" s="683"/>
      <c r="B38" s="152"/>
      <c r="C38" s="153"/>
      <c r="D38" s="154"/>
      <c r="E38" s="155"/>
      <c r="F38" s="941"/>
      <c r="G38" s="10"/>
      <c r="H38" s="324"/>
      <c r="I38" s="326"/>
      <c r="J38" s="770"/>
    </row>
    <row r="39" spans="1:10" ht="35.25" customHeight="1">
      <c r="A39" s="683"/>
      <c r="D39" s="11"/>
      <c r="E39" s="306" t="s">
        <v>55</v>
      </c>
      <c r="F39" s="610" t="s">
        <v>56</v>
      </c>
      <c r="G39" s="10"/>
      <c r="H39" s="671" t="s">
        <v>18</v>
      </c>
    </row>
    <row r="40" spans="1:10" s="14345" customFormat="1" ht="6" hidden="1" customHeight="1">
      <c r="A40" s="682"/>
      <c r="B40" s="340"/>
      <c r="C40" s="341"/>
      <c r="D40" s="342"/>
      <c r="E40" s="343"/>
      <c r="F40" s="941"/>
      <c r="G40" s="10"/>
      <c r="H40" s="324"/>
      <c r="I40" s="326"/>
      <c r="J40" s="770"/>
    </row>
    <row r="41" spans="1:10" s="14344" customFormat="1" ht="26.25" hidden="1" customHeight="1">
      <c r="A41" s="686" t="s">
        <v>22</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10" t="s">
        <v>56</v>
      </c>
      <c r="G41" s="10"/>
      <c r="I41" s="326"/>
      <c r="J41" s="770"/>
    </row>
    <row r="42" spans="1:10" s="14345" customFormat="1" ht="6" hidden="1" customHeight="1">
      <c r="A42" s="682"/>
      <c r="B42" s="340"/>
      <c r="C42" s="341"/>
      <c r="D42" s="342"/>
      <c r="E42" s="343"/>
      <c r="F42" s="941"/>
      <c r="G42" s="10"/>
      <c r="H42" s="324"/>
      <c r="I42" s="326"/>
      <c r="J42" s="768"/>
    </row>
    <row r="43" spans="1:10" s="14344" customFormat="1" ht="27" hidden="1" customHeight="1">
      <c r="A43" s="682"/>
      <c r="B43" s="328"/>
      <c r="C43" s="323"/>
      <c r="D43" s="325"/>
      <c r="E43" s="306" t="s">
        <v>57</v>
      </c>
      <c r="F43" s="610" t="s">
        <v>56</v>
      </c>
      <c r="G43" s="10"/>
      <c r="I43" s="326"/>
      <c r="J43" s="770"/>
    </row>
    <row r="44" spans="1:10" s="14344" customFormat="1" ht="27" hidden="1" customHeight="1">
      <c r="A44" s="682"/>
      <c r="B44" s="328"/>
      <c r="C44" s="323"/>
      <c r="D44" s="325"/>
      <c r="E44" s="1046" t="s">
        <v>58</v>
      </c>
      <c r="F44" s="1748"/>
      <c r="G44" s="10"/>
      <c r="I44" s="326"/>
      <c r="J44" s="770"/>
    </row>
    <row r="45" spans="1:10" s="14345" customFormat="1" ht="6" hidden="1" customHeight="1">
      <c r="A45" s="682"/>
      <c r="B45" s="340"/>
      <c r="C45" s="341"/>
      <c r="D45" s="342"/>
      <c r="E45" s="343"/>
      <c r="F45" s="941"/>
      <c r="G45" s="10"/>
      <c r="H45" s="324"/>
      <c r="I45" s="326"/>
      <c r="J45" s="770"/>
    </row>
    <row r="46" spans="1:10" s="14345" customFormat="1" ht="24.75" hidden="1" customHeight="1">
      <c r="A46" s="682"/>
      <c r="B46" s="340"/>
      <c r="C46" s="341"/>
      <c r="D46" s="342"/>
      <c r="E46" s="1046" t="s">
        <v>59</v>
      </c>
      <c r="F46" s="610" t="s">
        <v>56</v>
      </c>
      <c r="G46" s="10"/>
      <c r="H46" s="324"/>
      <c r="I46" s="326"/>
      <c r="J46" s="770"/>
    </row>
    <row r="47" spans="1:10" s="14344" customFormat="1" ht="24.75" hidden="1" customHeight="1">
      <c r="A47" s="682"/>
      <c r="B47" s="328"/>
      <c r="C47" s="323"/>
      <c r="D47" s="325"/>
      <c r="E47" s="1046" t="s">
        <v>60</v>
      </c>
      <c r="F47" s="610" t="s">
        <v>56</v>
      </c>
      <c r="G47" s="10"/>
      <c r="I47" s="326"/>
      <c r="J47" s="770"/>
    </row>
    <row r="48" spans="1:10" s="14343" customFormat="1" ht="6" customHeight="1">
      <c r="A48" s="682"/>
      <c r="B48" s="152"/>
      <c r="C48" s="153"/>
      <c r="D48" s="154"/>
      <c r="E48" s="155"/>
      <c r="F48" s="941"/>
      <c r="G48" s="10"/>
      <c r="H48" s="324"/>
      <c r="I48" s="326"/>
      <c r="J48" s="770"/>
    </row>
    <row r="49" spans="1:16" ht="29.25" customHeight="1">
      <c r="B49" s="74"/>
      <c r="D49" s="11"/>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10" t="s">
        <v>56</v>
      </c>
      <c r="G49" s="10"/>
    </row>
    <row r="50" spans="1:16" s="14345" customFormat="1" ht="6" hidden="1" customHeight="1">
      <c r="A50" s="683"/>
      <c r="B50" s="340"/>
      <c r="C50" s="341"/>
      <c r="D50" s="158"/>
      <c r="E50" s="156"/>
      <c r="F50" s="159"/>
      <c r="G50" s="13"/>
      <c r="H50" s="324"/>
      <c r="I50" s="326"/>
      <c r="J50" s="770"/>
    </row>
    <row r="51" spans="1:16" s="14347" customFormat="1" ht="28.5" hidden="1" customHeight="1">
      <c r="A51" s="684"/>
      <c r="B51" s="328"/>
      <c r="C51" s="437"/>
      <c r="D51" s="438"/>
      <c r="E51" s="306" t="s">
        <v>61</v>
      </c>
      <c r="F51" s="610" t="s">
        <v>56</v>
      </c>
      <c r="G51" s="439"/>
      <c r="I51" s="440"/>
      <c r="J51" s="772"/>
      <c r="P51" s="441"/>
    </row>
    <row r="52" spans="1:16" s="14345" customFormat="1" ht="6" hidden="1" customHeight="1">
      <c r="A52" s="683"/>
      <c r="B52" s="340"/>
      <c r="C52" s="341"/>
      <c r="D52" s="158"/>
      <c r="E52" s="156"/>
      <c r="F52" s="159"/>
      <c r="G52" s="13"/>
      <c r="H52" s="324"/>
      <c r="I52" s="326"/>
      <c r="J52" s="768"/>
    </row>
    <row r="53" spans="1:16" s="14347" customFormat="1" ht="27" hidden="1" customHeight="1">
      <c r="A53" s="684"/>
      <c r="B53" s="328"/>
      <c r="C53" s="437"/>
      <c r="D53" s="438"/>
      <c r="E53" s="306" t="s">
        <v>62</v>
      </c>
      <c r="F53" s="936" t="s">
        <v>56</v>
      </c>
      <c r="G53" s="439"/>
      <c r="I53" s="440"/>
      <c r="J53" s="772"/>
      <c r="P53" s="441"/>
    </row>
    <row r="54" spans="1:16" s="14347" customFormat="1" ht="27" hidden="1" customHeight="1">
      <c r="A54" s="684"/>
      <c r="B54" s="328"/>
      <c r="C54" s="437"/>
      <c r="D54" s="438"/>
      <c r="E54" s="306" t="s">
        <v>63</v>
      </c>
      <c r="F54" s="1636"/>
      <c r="G54" s="439"/>
      <c r="I54" s="440"/>
      <c r="J54" s="772"/>
      <c r="P54" s="441"/>
    </row>
    <row r="55" spans="1:16" s="14345" customFormat="1" ht="6" hidden="1" customHeight="1">
      <c r="A55" s="683"/>
      <c r="B55" s="340"/>
      <c r="C55" s="341"/>
      <c r="D55" s="158"/>
      <c r="E55" s="156"/>
      <c r="F55" s="159"/>
      <c r="G55" s="13"/>
      <c r="H55" s="324"/>
      <c r="I55" s="326"/>
      <c r="J55" s="768"/>
    </row>
    <row r="56" spans="1:16" s="14347" customFormat="1" ht="25.5" hidden="1" customHeight="1">
      <c r="A56" s="684"/>
      <c r="B56" s="328"/>
      <c r="C56" s="437"/>
      <c r="D56" s="438"/>
      <c r="E56" s="306" t="s">
        <v>64</v>
      </c>
      <c r="F56" s="936" t="s">
        <v>56</v>
      </c>
      <c r="G56" s="439"/>
      <c r="I56" s="440"/>
      <c r="J56" s="772"/>
      <c r="P56" s="441"/>
    </row>
    <row r="57" spans="1:16" s="14345" customFormat="1" ht="6" hidden="1" customHeight="1">
      <c r="A57" s="683"/>
      <c r="B57" s="340"/>
      <c r="C57" s="341"/>
      <c r="D57" s="158"/>
      <c r="E57" s="156"/>
      <c r="F57" s="159"/>
      <c r="G57" s="13"/>
      <c r="H57" s="324"/>
      <c r="I57" s="326"/>
      <c r="J57" s="768"/>
    </row>
    <row r="58" spans="1:16" s="14347" customFormat="1" ht="15" hidden="1" customHeight="1">
      <c r="A58" s="684"/>
      <c r="B58" s="328"/>
      <c r="C58" s="437"/>
      <c r="D58" s="438"/>
      <c r="E58" s="306" t="s">
        <v>65</v>
      </c>
      <c r="F58" s="936" t="s">
        <v>66</v>
      </c>
      <c r="G58" s="439"/>
      <c r="I58" s="440"/>
      <c r="J58" s="772"/>
      <c r="P58" s="441"/>
    </row>
    <row r="59" spans="1:16" s="14347" customFormat="1" ht="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72"/>
      <c r="G59" s="439"/>
      <c r="I59" s="440"/>
      <c r="J59" s="772"/>
      <c r="P59" s="441"/>
    </row>
    <row r="60" spans="1:16" s="14347" customFormat="1" ht="15" hidden="1" customHeight="1">
      <c r="A60" s="684"/>
      <c r="B60" s="328"/>
      <c r="C60" s="437"/>
      <c r="D60" s="438"/>
      <c r="E60" s="1046" t="s">
        <v>67</v>
      </c>
      <c r="F60" s="1032"/>
      <c r="G60" s="439"/>
      <c r="I60" s="440"/>
      <c r="J60" s="772"/>
      <c r="P60" s="441"/>
    </row>
    <row r="61" spans="1:16" s="14345" customFormat="1" ht="6" hidden="1" customHeight="1">
      <c r="A61" s="683"/>
      <c r="B61" s="340"/>
      <c r="C61" s="341"/>
      <c r="D61" s="342"/>
      <c r="E61" s="343"/>
      <c r="F61" s="941"/>
      <c r="G61" s="10"/>
      <c r="H61" s="324"/>
      <c r="I61" s="326"/>
      <c r="J61" s="770"/>
    </row>
    <row r="62" spans="1:16" s="14344" customFormat="1" ht="33.75" hidden="1" customHeight="1">
      <c r="A62" s="683"/>
      <c r="B62" s="33"/>
      <c r="C62" s="323"/>
      <c r="D62" s="325"/>
      <c r="E62" s="1046" t="s">
        <v>68</v>
      </c>
      <c r="F62" s="1534" t="s">
        <v>66</v>
      </c>
      <c r="G62" s="10"/>
      <c r="H62" s="671" t="s">
        <v>18</v>
      </c>
      <c r="I62" s="326"/>
      <c r="J62" s="770"/>
    </row>
    <row r="63" spans="1:16" s="14343" customFormat="1" ht="6" customHeight="1">
      <c r="A63" s="683"/>
      <c r="B63" s="152"/>
      <c r="C63" s="153"/>
      <c r="D63" s="158"/>
      <c r="E63" s="156"/>
      <c r="F63" s="159"/>
      <c r="G63" s="13"/>
      <c r="H63" s="324"/>
      <c r="I63" s="326"/>
      <c r="J63" s="768"/>
    </row>
    <row r="64" spans="1:16" ht="19.5" customHeight="1">
      <c r="A64" s="685"/>
      <c r="B64" s="34"/>
      <c r="D64" s="18"/>
      <c r="E64" s="306" t="s">
        <v>69</v>
      </c>
      <c r="F64" s="138" t="s">
        <v>70</v>
      </c>
      <c r="G64" s="13"/>
    </row>
    <row r="65" spans="1:9" ht="19.5" customHeight="1">
      <c r="A65" s="685"/>
      <c r="B65" s="34"/>
      <c r="D65" s="18"/>
      <c r="E65" s="306" t="s">
        <v>71</v>
      </c>
      <c r="F65" s="138" t="s">
        <v>72</v>
      </c>
      <c r="G65" s="13"/>
    </row>
    <row r="66" spans="1:9" ht="35.25" customHeight="1">
      <c r="D66" s="11"/>
      <c r="E66" s="308" t="s">
        <v>73</v>
      </c>
      <c r="F66" s="942"/>
      <c r="G66" s="10"/>
    </row>
    <row r="67" spans="1:9" ht="19.5" customHeight="1">
      <c r="A67" s="685"/>
      <c r="D67" s="325"/>
      <c r="E67" s="306" t="s">
        <v>74</v>
      </c>
      <c r="F67" s="190" t="s">
        <v>75</v>
      </c>
      <c r="G67" s="13"/>
    </row>
    <row r="68" spans="1:9" ht="19.5" customHeight="1">
      <c r="A68" s="685"/>
      <c r="B68" s="34"/>
      <c r="D68" s="18"/>
      <c r="E68" s="306" t="s">
        <v>76</v>
      </c>
      <c r="F68" s="190" t="s">
        <v>77</v>
      </c>
      <c r="G68" s="13"/>
    </row>
    <row r="69" spans="1:9" ht="19.5" customHeight="1">
      <c r="A69" s="685"/>
      <c r="B69" s="34"/>
      <c r="D69" s="18"/>
      <c r="E69" s="306" t="s">
        <v>78</v>
      </c>
      <c r="F69" s="190" t="s">
        <v>79</v>
      </c>
      <c r="G69" s="13"/>
    </row>
    <row r="70" spans="1:9" ht="19.5" customHeight="1">
      <c r="D70" s="325"/>
      <c r="E70" s="306" t="s">
        <v>80</v>
      </c>
      <c r="F70" s="1848" t="s">
        <v>81</v>
      </c>
      <c r="G70" s="10"/>
    </row>
    <row r="71" spans="1:9" ht="20.25" customHeight="1">
      <c r="A71" s="685"/>
      <c r="D71" s="10"/>
      <c r="F71" s="61"/>
      <c r="G71" s="13"/>
    </row>
    <row r="72" spans="1:9" ht="19.5" customHeight="1">
      <c r="A72" s="685"/>
      <c r="B72" s="34"/>
      <c r="D72" s="18"/>
      <c r="E72" s="17"/>
      <c r="F72" s="62"/>
      <c r="G72" s="13"/>
    </row>
    <row r="73" spans="1:9" ht="19.5" customHeight="1">
      <c r="A73" s="685"/>
      <c r="B73" s="34"/>
      <c r="D73" s="18"/>
      <c r="E73" s="17"/>
      <c r="F73" s="62"/>
      <c r="G73" s="13"/>
    </row>
    <row r="74" spans="1:9" ht="19.5" customHeight="1">
      <c r="A74" s="685"/>
      <c r="B74" s="34"/>
      <c r="D74" s="18"/>
      <c r="E74" s="22"/>
      <c r="F74" s="62"/>
      <c r="G74" s="13"/>
    </row>
    <row r="75" spans="1:9" ht="19.5" customHeight="1">
      <c r="A75" s="685"/>
      <c r="B75" s="34"/>
      <c r="D75" s="18"/>
      <c r="E75" s="17"/>
      <c r="F75" s="62"/>
      <c r="G75" s="13"/>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F29" r:id="rId2"/>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52"/>
  <sheetViews>
    <sheetView showGridLines="0" topLeftCell="C2" zoomScale="90" workbookViewId="0">
      <selection activeCell="G36" sqref="G36"/>
    </sheetView>
  </sheetViews>
  <sheetFormatPr defaultColWidth="9.140625" defaultRowHeight="14.25" customHeight="1"/>
  <cols>
    <col min="1" max="1" width="8" style="14361" hidden="1" customWidth="1"/>
    <col min="2" max="2" width="6" style="14362" hidden="1" customWidth="1"/>
    <col min="3" max="3" width="3.7109375" style="14361" customWidth="1"/>
    <col min="4" max="4" width="3.7109375" style="14363" customWidth="1"/>
    <col min="5" max="5" width="6.28515625" style="14364" customWidth="1"/>
    <col min="6" max="6" width="2.7109375" style="14361" hidden="1" customWidth="1"/>
    <col min="7" max="7" width="46.7109375" style="14364" customWidth="1"/>
    <col min="8" max="8" width="43.140625" style="14364" customWidth="1"/>
    <col min="9" max="9" width="14.85546875" style="14364" customWidth="1"/>
    <col min="10" max="10" width="3.7109375" style="14365" customWidth="1"/>
    <col min="11" max="13" width="9.140625" style="14365" hidden="1"/>
    <col min="14" max="14" width="25.7109375" style="14366" hidden="1" customWidth="1"/>
    <col min="15" max="15" width="14.42578125" style="14365" hidden="1" customWidth="1"/>
    <col min="16" max="19" width="9.140625" style="14367" hidden="1"/>
    <col min="20" max="27" width="9.140625" style="14364" hidden="1"/>
    <col min="28" max="28" width="9.140625" style="14364"/>
  </cols>
  <sheetData>
    <row r="1" spans="1:28" s="14355" customFormat="1" ht="5.25" hidden="1" customHeight="1">
      <c r="A1" s="403"/>
      <c r="B1" s="418"/>
      <c r="C1" s="418"/>
      <c r="D1" s="142"/>
      <c r="F1" s="418"/>
      <c r="G1" s="166" t="s">
        <v>82</v>
      </c>
      <c r="H1" s="401" t="s">
        <v>83</v>
      </c>
      <c r="I1" s="148" t="s">
        <v>84</v>
      </c>
      <c r="J1" s="166" t="s">
        <v>82</v>
      </c>
      <c r="K1" s="166"/>
      <c r="L1" s="166"/>
      <c r="M1" s="166"/>
      <c r="N1" s="167"/>
      <c r="O1" s="166"/>
      <c r="P1" s="166"/>
      <c r="Q1" s="166"/>
      <c r="R1" s="166"/>
      <c r="S1" s="166"/>
      <c r="T1" s="148"/>
      <c r="U1" s="148"/>
      <c r="V1" s="148"/>
      <c r="W1" s="148"/>
      <c r="X1" s="148"/>
      <c r="Y1" s="148"/>
      <c r="Z1" s="148"/>
      <c r="AA1" s="148"/>
      <c r="AB1" s="148"/>
    </row>
    <row r="2" spans="1:28" s="14356"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4357" customFormat="1" ht="3" customHeight="1">
      <c r="A3" s="656"/>
      <c r="B3" s="332"/>
      <c r="C3" s="656"/>
      <c r="D3" s="87"/>
      <c r="E3" s="37"/>
      <c r="F3" s="416"/>
      <c r="G3" s="37"/>
      <c r="H3" s="37"/>
      <c r="I3" s="89"/>
      <c r="J3" s="166"/>
      <c r="K3" s="79"/>
      <c r="L3" s="79"/>
      <c r="M3" s="79"/>
      <c r="N3" s="147"/>
      <c r="O3" s="79"/>
      <c r="P3" s="146"/>
      <c r="Q3" s="146"/>
      <c r="R3" s="146"/>
      <c r="S3" s="146"/>
    </row>
    <row r="4" spans="1:28" s="14357" customFormat="1" ht="25.5" customHeight="1">
      <c r="A4" s="656"/>
      <c r="B4" s="332"/>
      <c r="C4" s="656"/>
      <c r="D4" s="87"/>
      <c r="E4" s="15967" t="str">
        <f>NameTemplatesInListMO</f>
        <v>Перечень муниципальных районов и муниципальных образований (территорий действия тарифа)</v>
      </c>
      <c r="F4" s="15967"/>
      <c r="G4" s="15967"/>
      <c r="H4" s="15967"/>
      <c r="I4" s="15967"/>
      <c r="J4" s="166"/>
      <c r="K4" s="79"/>
      <c r="L4" s="79"/>
      <c r="M4" s="79"/>
      <c r="N4" s="147"/>
      <c r="O4" s="79"/>
      <c r="P4" s="146"/>
      <c r="Q4" s="146"/>
      <c r="R4" s="146"/>
      <c r="S4" s="146"/>
    </row>
    <row r="5" spans="1:28" s="14357" customFormat="1" ht="3" customHeight="1">
      <c r="A5" s="656"/>
      <c r="B5" s="332"/>
      <c r="C5" s="656"/>
      <c r="D5" s="87"/>
      <c r="E5" s="37"/>
      <c r="F5" s="416"/>
      <c r="G5" s="90"/>
      <c r="H5" s="90"/>
      <c r="I5" s="91"/>
      <c r="J5" s="79"/>
      <c r="K5" s="79"/>
      <c r="L5" s="79"/>
      <c r="M5" s="79"/>
      <c r="N5" s="147"/>
      <c r="O5" s="79"/>
      <c r="P5" s="146"/>
      <c r="Q5" s="146"/>
      <c r="R5" s="146"/>
      <c r="S5" s="146"/>
    </row>
    <row r="6" spans="1:28" s="14357" customFormat="1" ht="20.25" hidden="1" customHeight="1">
      <c r="A6" s="735"/>
      <c r="B6" s="731"/>
      <c r="C6" s="92"/>
      <c r="D6" s="87"/>
      <c r="E6" s="677"/>
      <c r="F6" s="677"/>
      <c r="G6" s="90"/>
      <c r="H6" s="93"/>
      <c r="I6" s="93"/>
      <c r="J6" s="79"/>
      <c r="K6" s="79"/>
      <c r="L6" s="79"/>
      <c r="M6" s="79"/>
      <c r="N6" s="147"/>
      <c r="O6" s="79"/>
      <c r="P6" s="146"/>
      <c r="Q6" s="146"/>
      <c r="R6" s="146"/>
      <c r="S6" s="146"/>
    </row>
    <row r="7" spans="1:28" ht="25.5" hidden="1" customHeight="1"/>
    <row r="8" spans="1:28" s="14357" customFormat="1" ht="14.25" customHeight="1">
      <c r="A8" s="656"/>
      <c r="B8" s="332"/>
      <c r="C8" s="656"/>
      <c r="D8" s="87"/>
      <c r="E8" s="15963" t="s">
        <v>85</v>
      </c>
      <c r="F8" s="15968"/>
      <c r="G8" s="15962"/>
      <c r="H8" s="15969" t="s">
        <v>86</v>
      </c>
      <c r="I8" s="15969"/>
      <c r="J8" s="79"/>
      <c r="K8" s="79"/>
      <c r="L8" s="79"/>
      <c r="M8" s="79"/>
      <c r="N8" s="147"/>
      <c r="O8" s="79"/>
      <c r="P8" s="146"/>
      <c r="Q8" s="146"/>
      <c r="R8" s="146"/>
      <c r="S8" s="146"/>
    </row>
    <row r="9" spans="1:28" s="14357" customFormat="1" ht="20.25" customHeight="1">
      <c r="A9" s="656"/>
      <c r="B9" s="332"/>
      <c r="C9" s="656"/>
      <c r="D9" s="87"/>
      <c r="E9" s="675" t="s">
        <v>87</v>
      </c>
      <c r="F9" s="675"/>
      <c r="G9" s="95" t="s">
        <v>88</v>
      </c>
      <c r="H9" s="95" t="s">
        <v>88</v>
      </c>
      <c r="I9" s="95" t="s">
        <v>84</v>
      </c>
      <c r="J9" s="79"/>
      <c r="K9" s="79"/>
      <c r="L9" s="79"/>
      <c r="M9" s="79"/>
      <c r="N9" s="147"/>
      <c r="O9" s="79"/>
      <c r="P9" s="146"/>
      <c r="Q9" s="146"/>
      <c r="R9" s="146"/>
      <c r="S9" s="146"/>
    </row>
    <row r="10" spans="1:28" ht="11.25" customHeight="1">
      <c r="D10" s="99"/>
      <c r="E10" s="676" t="s">
        <v>89</v>
      </c>
      <c r="F10" s="676"/>
      <c r="G10" s="144" t="s">
        <v>90</v>
      </c>
      <c r="H10" s="144" t="s">
        <v>91</v>
      </c>
      <c r="I10" s="144" t="s">
        <v>92</v>
      </c>
      <c r="J10" s="108"/>
      <c r="K10" s="108"/>
      <c r="L10" s="108"/>
      <c r="M10" s="108"/>
      <c r="N10" s="94"/>
      <c r="O10" s="108"/>
      <c r="P10" s="145"/>
      <c r="Q10" s="145"/>
      <c r="R10" s="145"/>
      <c r="S10" s="145"/>
    </row>
    <row r="11" spans="1:28" s="14357" customFormat="1" ht="0.75" customHeight="1">
      <c r="A11" s="656"/>
      <c r="B11" s="332"/>
      <c r="C11" s="656"/>
      <c r="D11" s="87"/>
      <c r="E11" s="688"/>
      <c r="F11" s="688"/>
      <c r="G11" s="96"/>
      <c r="H11" s="96"/>
      <c r="I11" s="98"/>
      <c r="J11" s="168" t="s">
        <v>93</v>
      </c>
      <c r="K11" s="79"/>
      <c r="L11" s="79"/>
      <c r="M11" s="79" t="s">
        <v>94</v>
      </c>
      <c r="N11" s="147" t="s">
        <v>95</v>
      </c>
      <c r="O11" s="79" t="s">
        <v>96</v>
      </c>
      <c r="P11" s="146"/>
      <c r="Q11" s="146"/>
      <c r="R11" s="146"/>
      <c r="S11" s="146"/>
    </row>
    <row r="12" spans="1:28" s="14358" customFormat="1" ht="14.25" customHeight="1">
      <c r="A12" s="15966">
        <v>1</v>
      </c>
      <c r="B12" s="332"/>
      <c r="C12" s="656"/>
      <c r="D12" s="680"/>
      <c r="E12" s="140">
        <f>A12</f>
        <v>1</v>
      </c>
      <c r="F12" s="700" t="s">
        <v>97</v>
      </c>
      <c r="G12" s="446" t="str">
        <f>"Территория "&amp;E12</f>
        <v>Территория 1</v>
      </c>
      <c r="H12" s="690"/>
      <c r="I12" s="690"/>
      <c r="J12" s="687"/>
      <c r="K12" s="407"/>
      <c r="L12" s="407"/>
      <c r="M12" s="407"/>
      <c r="N12" s="147"/>
      <c r="O12" s="407"/>
      <c r="P12" s="146"/>
      <c r="Q12" s="146"/>
      <c r="R12" s="146"/>
      <c r="S12" s="146"/>
    </row>
    <row r="13" spans="1:28" s="14359" customFormat="1" ht="15" customHeight="1">
      <c r="A13" s="15966"/>
      <c r="B13" s="332">
        <v>1</v>
      </c>
      <c r="C13" s="332"/>
      <c r="D13" s="698"/>
      <c r="E13" s="678" t="str">
        <f>A12&amp;"."&amp;B13</f>
        <v>1.1</v>
      </c>
      <c r="F13" s="693" t="s">
        <v>98</v>
      </c>
      <c r="G13" s="691" t="s">
        <v>99</v>
      </c>
      <c r="H13" s="691" t="s">
        <v>99</v>
      </c>
      <c r="I13" s="689" t="s">
        <v>100</v>
      </c>
      <c r="J13" s="407" t="e">
        <f ca="1">MERGEVALUE(G13)</f>
        <v>#NAME?</v>
      </c>
      <c r="K13" s="418"/>
      <c r="L13" s="418"/>
      <c r="M13" s="407" t="str">
        <f t="array" ref="M13">IF(ISERROR(MATCH(MID(N13,1,250),MID(note_ter,1,250),0)),"n","y")</f>
        <v>n</v>
      </c>
      <c r="N13" s="418"/>
      <c r="O13" s="407" t="str">
        <f>H13&amp;"("&amp;I13&amp;")"</f>
        <v>город-герой Мурманск(47701000)</v>
      </c>
      <c r="P13" s="332"/>
      <c r="Q13" s="332"/>
      <c r="R13" s="334"/>
      <c r="S13" s="332"/>
      <c r="T13" s="332"/>
      <c r="U13" s="332"/>
      <c r="V13" s="336"/>
      <c r="W13" s="336"/>
      <c r="X13" s="333"/>
      <c r="Y13" s="333"/>
      <c r="Z13" s="333"/>
      <c r="AA13" s="333"/>
      <c r="AB13" s="333"/>
    </row>
    <row r="14" spans="1:28" s="14359" customFormat="1" ht="15" customHeight="1">
      <c r="A14" s="15966"/>
      <c r="B14" s="332"/>
      <c r="C14" s="327"/>
      <c r="D14" s="699"/>
      <c r="E14" s="335"/>
      <c r="F14" s="100"/>
      <c r="G14" s="330" t="s">
        <v>101</v>
      </c>
      <c r="H14" s="109"/>
      <c r="I14" s="338"/>
      <c r="J14" s="418"/>
      <c r="K14" s="418"/>
      <c r="L14" s="418"/>
      <c r="M14" s="418"/>
      <c r="N14" s="407"/>
      <c r="O14" s="418"/>
      <c r="P14" s="332"/>
      <c r="Q14" s="332"/>
      <c r="R14" s="334"/>
      <c r="S14" s="332"/>
      <c r="T14" s="332"/>
      <c r="U14" s="332"/>
      <c r="V14" s="336"/>
      <c r="W14" s="336"/>
      <c r="X14" s="333"/>
      <c r="Y14" s="333"/>
      <c r="Z14" s="333"/>
      <c r="AA14" s="333"/>
      <c r="AB14" s="333"/>
    </row>
    <row r="15" spans="1:28" ht="15" customHeight="1">
      <c r="A15" s="15970" t="s">
        <v>102</v>
      </c>
      <c r="B15" s="1041"/>
      <c r="C15" s="699" t="s">
        <v>103</v>
      </c>
      <c r="D15" s="1680"/>
      <c r="E15" s="1667" t="str">
        <f>A15</f>
        <v>2</v>
      </c>
      <c r="F15" s="702" t="s">
        <v>104</v>
      </c>
      <c r="G15" s="446" t="str">
        <f>"Территория "&amp;E15</f>
        <v>Территория 2</v>
      </c>
      <c r="H15" s="690"/>
      <c r="I15" s="690"/>
      <c r="J15" s="687"/>
      <c r="K15" s="1487"/>
      <c r="L15" s="1487"/>
      <c r="M15" s="1487"/>
      <c r="N15" s="147"/>
      <c r="O15" s="1487"/>
      <c r="P15" s="146"/>
      <c r="Q15" s="146"/>
      <c r="R15" s="146"/>
      <c r="S15" s="146"/>
      <c r="T15" s="1849"/>
      <c r="U15" s="1849"/>
      <c r="V15" s="1849"/>
      <c r="W15" s="1849"/>
      <c r="X15" s="1849"/>
      <c r="Y15" s="1849"/>
      <c r="Z15" s="1849"/>
      <c r="AA15" s="1849"/>
      <c r="AB15" s="1849"/>
    </row>
    <row r="16" spans="1:28" ht="15" customHeight="1">
      <c r="A16" s="15970"/>
      <c r="B16" s="1041">
        <v>1</v>
      </c>
      <c r="C16" s="1041"/>
      <c r="D16" s="698"/>
      <c r="E16" s="1675" t="str">
        <f>A15&amp;"."&amp;B16</f>
        <v>2.1</v>
      </c>
      <c r="F16" s="701" t="s">
        <v>105</v>
      </c>
      <c r="G16" s="691" t="s">
        <v>106</v>
      </c>
      <c r="H16" s="691" t="s">
        <v>107</v>
      </c>
      <c r="I16" s="689" t="s">
        <v>108</v>
      </c>
      <c r="J16" s="1487"/>
      <c r="K16" s="1499"/>
      <c r="L16" s="1499"/>
      <c r="M16" s="1487" t="str">
        <f t="array" ref="M16">IF(ISERROR(MATCH(MID(N16,1,250),MID(note_ter,1,250),0)),"n","y")</f>
        <v>n</v>
      </c>
      <c r="N16" s="1499"/>
      <c r="O16" s="1487" t="str">
        <f>H16&amp;"("&amp;I16&amp;")"</f>
        <v>Поселок Верхнетуломский(47605154)</v>
      </c>
      <c r="P16" s="1041"/>
      <c r="Q16" s="1041"/>
      <c r="R16" s="334"/>
      <c r="S16" s="1041"/>
      <c r="T16" s="1041"/>
      <c r="U16" s="1041"/>
      <c r="V16" s="336"/>
      <c r="W16" s="336"/>
      <c r="X16" s="333"/>
      <c r="Y16" s="333"/>
      <c r="Z16" s="333"/>
      <c r="AA16" s="333"/>
      <c r="AB16" s="333"/>
    </row>
    <row r="17" spans="1:28" ht="15" customHeight="1">
      <c r="A17" s="15970"/>
      <c r="B17" s="1041"/>
      <c r="C17" s="327"/>
      <c r="D17" s="699"/>
      <c r="E17" s="335"/>
      <c r="F17" s="100"/>
      <c r="G17" s="330" t="s">
        <v>101</v>
      </c>
      <c r="H17" s="109"/>
      <c r="I17" s="338"/>
      <c r="J17" s="1499"/>
      <c r="K17" s="1499"/>
      <c r="L17" s="1499"/>
      <c r="M17" s="1499"/>
      <c r="N17" s="1487"/>
      <c r="O17" s="1499"/>
      <c r="P17" s="1041"/>
      <c r="Q17" s="1041"/>
      <c r="R17" s="334"/>
      <c r="S17" s="1041"/>
      <c r="T17" s="1041"/>
      <c r="U17" s="1041"/>
      <c r="V17" s="336"/>
      <c r="W17" s="336"/>
      <c r="X17" s="333"/>
      <c r="Y17" s="333"/>
      <c r="Z17" s="333"/>
      <c r="AA17" s="333"/>
      <c r="AB17" s="333"/>
    </row>
    <row r="18" spans="1:28" ht="15" customHeight="1">
      <c r="A18" s="15970" t="s">
        <v>89</v>
      </c>
      <c r="B18" s="1041"/>
      <c r="C18" s="699" t="s">
        <v>103</v>
      </c>
      <c r="D18" s="1680"/>
      <c r="E18" s="1667" t="str">
        <f>A18</f>
        <v>3</v>
      </c>
      <c r="F18" s="702" t="s">
        <v>109</v>
      </c>
      <c r="G18" s="446" t="str">
        <f>"Территория "&amp;E18</f>
        <v>Территория 3</v>
      </c>
      <c r="H18" s="690"/>
      <c r="I18" s="690"/>
      <c r="J18" s="687"/>
      <c r="K18" s="1487"/>
      <c r="L18" s="1487"/>
      <c r="M18" s="1487"/>
      <c r="N18" s="147"/>
      <c r="O18" s="1487"/>
      <c r="P18" s="146"/>
      <c r="Q18" s="146"/>
      <c r="R18" s="146"/>
      <c r="S18" s="146"/>
      <c r="T18" s="1849"/>
      <c r="U18" s="1849"/>
      <c r="V18" s="1849"/>
      <c r="W18" s="1849"/>
      <c r="X18" s="1849"/>
      <c r="Y18" s="1849"/>
      <c r="Z18" s="1849"/>
      <c r="AA18" s="1849"/>
      <c r="AB18" s="1849"/>
    </row>
    <row r="19" spans="1:28" ht="15" customHeight="1">
      <c r="A19" s="15970"/>
      <c r="B19" s="1041">
        <v>1</v>
      </c>
      <c r="C19" s="1041"/>
      <c r="D19" s="698"/>
      <c r="E19" s="1675" t="str">
        <f>A18&amp;"."&amp;B19</f>
        <v>3.1</v>
      </c>
      <c r="F19" s="701" t="s">
        <v>110</v>
      </c>
      <c r="G19" s="691" t="s">
        <v>106</v>
      </c>
      <c r="H19" s="691" t="s">
        <v>111</v>
      </c>
      <c r="I19" s="689" t="s">
        <v>112</v>
      </c>
      <c r="J19" s="1487"/>
      <c r="K19" s="1499"/>
      <c r="L19" s="1499"/>
      <c r="M19" s="1487" t="str">
        <f t="array" ref="M19">IF(ISERROR(MATCH(MID(N19,1,250),MID(note_ter,1,250),0)),"n","y")</f>
        <v>n</v>
      </c>
      <c r="N19" s="1499"/>
      <c r="O19" s="1487" t="str">
        <f>H19&amp;"("&amp;I19&amp;")"</f>
        <v>Поселок Кильдинстрой(47605158)</v>
      </c>
      <c r="P19" s="1041"/>
      <c r="Q19" s="1041"/>
      <c r="R19" s="334"/>
      <c r="S19" s="1041"/>
      <c r="T19" s="1041"/>
      <c r="U19" s="1041"/>
      <c r="V19" s="336"/>
      <c r="W19" s="336"/>
      <c r="X19" s="333"/>
      <c r="Y19" s="333"/>
      <c r="Z19" s="333"/>
      <c r="AA19" s="333"/>
      <c r="AB19" s="333"/>
    </row>
    <row r="20" spans="1:28" ht="15" customHeight="1">
      <c r="A20" s="15970"/>
      <c r="B20" s="1041"/>
      <c r="C20" s="327"/>
      <c r="D20" s="699"/>
      <c r="E20" s="335"/>
      <c r="F20" s="100"/>
      <c r="G20" s="330" t="s">
        <v>101</v>
      </c>
      <c r="H20" s="109"/>
      <c r="I20" s="338"/>
      <c r="J20" s="1499"/>
      <c r="K20" s="1499"/>
      <c r="L20" s="1499"/>
      <c r="M20" s="1499"/>
      <c r="N20" s="1487"/>
      <c r="O20" s="1499"/>
      <c r="P20" s="1041"/>
      <c r="Q20" s="1041"/>
      <c r="R20" s="334"/>
      <c r="S20" s="1041"/>
      <c r="T20" s="1041"/>
      <c r="U20" s="1041"/>
      <c r="V20" s="336"/>
      <c r="W20" s="336"/>
      <c r="X20" s="333"/>
      <c r="Y20" s="333"/>
      <c r="Z20" s="333"/>
      <c r="AA20" s="333"/>
      <c r="AB20" s="333"/>
    </row>
    <row r="21" spans="1:28" ht="15" customHeight="1">
      <c r="A21" s="15970" t="s">
        <v>90</v>
      </c>
      <c r="B21" s="1041"/>
      <c r="C21" s="699" t="s">
        <v>103</v>
      </c>
      <c r="D21" s="1680"/>
      <c r="E21" s="1667" t="str">
        <f>A21</f>
        <v>4</v>
      </c>
      <c r="F21" s="702" t="s">
        <v>113</v>
      </c>
      <c r="G21" s="446" t="str">
        <f>"Территория "&amp;E21</f>
        <v>Территория 4</v>
      </c>
      <c r="H21" s="690"/>
      <c r="I21" s="690"/>
      <c r="J21" s="687"/>
      <c r="K21" s="1487"/>
      <c r="L21" s="1487"/>
      <c r="M21" s="1487"/>
      <c r="N21" s="147"/>
      <c r="O21" s="1487"/>
      <c r="P21" s="146"/>
      <c r="Q21" s="146"/>
      <c r="R21" s="146"/>
      <c r="S21" s="146"/>
      <c r="T21" s="1849"/>
      <c r="U21" s="1849"/>
      <c r="V21" s="1849"/>
      <c r="W21" s="1849"/>
      <c r="X21" s="1849"/>
      <c r="Y21" s="1849"/>
      <c r="Z21" s="1849"/>
      <c r="AA21" s="1849"/>
      <c r="AB21" s="1849"/>
    </row>
    <row r="22" spans="1:28" ht="15" customHeight="1">
      <c r="A22" s="15970"/>
      <c r="B22" s="1041">
        <v>1</v>
      </c>
      <c r="C22" s="1041"/>
      <c r="D22" s="698"/>
      <c r="E22" s="1675" t="str">
        <f>A21&amp;"."&amp;B22</f>
        <v>4.1</v>
      </c>
      <c r="F22" s="701" t="s">
        <v>114</v>
      </c>
      <c r="G22" s="691" t="s">
        <v>106</v>
      </c>
      <c r="H22" s="691" t="s">
        <v>115</v>
      </c>
      <c r="I22" s="689" t="s">
        <v>116</v>
      </c>
      <c r="J22" s="1487"/>
      <c r="K22" s="1499"/>
      <c r="L22" s="1499"/>
      <c r="M22" s="1487" t="str">
        <f t="array" ref="M22">IF(ISERROR(MATCH(MID(N22,1,250),MID(note_ter,1,250),0)),"n","y")</f>
        <v>n</v>
      </c>
      <c r="N22" s="1499"/>
      <c r="O22" s="1487" t="str">
        <f>H22&amp;"("&amp;I22&amp;")"</f>
        <v>сельское поселение Ура-Губа(47605407)</v>
      </c>
      <c r="P22" s="1041"/>
      <c r="Q22" s="1041"/>
      <c r="R22" s="334"/>
      <c r="S22" s="1041"/>
      <c r="T22" s="1041"/>
      <c r="U22" s="1041"/>
      <c r="V22" s="336"/>
      <c r="W22" s="336"/>
      <c r="X22" s="333"/>
      <c r="Y22" s="333"/>
      <c r="Z22" s="333"/>
      <c r="AA22" s="333"/>
      <c r="AB22" s="333"/>
    </row>
    <row r="23" spans="1:28" ht="15" customHeight="1">
      <c r="A23" s="15970"/>
      <c r="B23" s="1041"/>
      <c r="C23" s="327"/>
      <c r="D23" s="699"/>
      <c r="E23" s="335"/>
      <c r="F23" s="100"/>
      <c r="G23" s="330" t="s">
        <v>101</v>
      </c>
      <c r="H23" s="109"/>
      <c r="I23" s="338"/>
      <c r="J23" s="1499"/>
      <c r="K23" s="1499"/>
      <c r="L23" s="1499"/>
      <c r="M23" s="1499"/>
      <c r="N23" s="1487"/>
      <c r="O23" s="1499"/>
      <c r="P23" s="1041"/>
      <c r="Q23" s="1041"/>
      <c r="R23" s="334"/>
      <c r="S23" s="1041"/>
      <c r="T23" s="1041"/>
      <c r="U23" s="1041"/>
      <c r="V23" s="336"/>
      <c r="W23" s="336"/>
      <c r="X23" s="333"/>
      <c r="Y23" s="333"/>
      <c r="Z23" s="333"/>
      <c r="AA23" s="333"/>
      <c r="AB23" s="333"/>
    </row>
    <row r="24" spans="1:28" ht="15" customHeight="1">
      <c r="A24" s="15970" t="s">
        <v>117</v>
      </c>
      <c r="B24" s="1041"/>
      <c r="C24" s="699" t="s">
        <v>103</v>
      </c>
      <c r="D24" s="1680"/>
      <c r="E24" s="1667" t="str">
        <f>A24</f>
        <v>5</v>
      </c>
      <c r="F24" s="702" t="s">
        <v>118</v>
      </c>
      <c r="G24" s="446" t="str">
        <f>"Территория "&amp;E24</f>
        <v>Территория 5</v>
      </c>
      <c r="H24" s="690"/>
      <c r="I24" s="690"/>
      <c r="J24" s="687"/>
      <c r="K24" s="1487"/>
      <c r="L24" s="1487"/>
      <c r="M24" s="1487"/>
      <c r="N24" s="147"/>
      <c r="O24" s="1487"/>
      <c r="P24" s="146"/>
      <c r="Q24" s="146"/>
      <c r="R24" s="146"/>
      <c r="S24" s="146"/>
      <c r="T24" s="1849"/>
      <c r="U24" s="1849"/>
      <c r="V24" s="1849"/>
      <c r="W24" s="1849"/>
      <c r="X24" s="1849"/>
      <c r="Y24" s="1849"/>
      <c r="Z24" s="1849"/>
      <c r="AA24" s="1849"/>
      <c r="AB24" s="1849"/>
    </row>
    <row r="25" spans="1:28" ht="15" customHeight="1">
      <c r="A25" s="15970"/>
      <c r="B25" s="1041">
        <v>1</v>
      </c>
      <c r="C25" s="1041"/>
      <c r="D25" s="698"/>
      <c r="E25" s="1675" t="str">
        <f>A24&amp;"."&amp;B25</f>
        <v>5.1</v>
      </c>
      <c r="F25" s="701" t="s">
        <v>119</v>
      </c>
      <c r="G25" s="691" t="s">
        <v>120</v>
      </c>
      <c r="H25" s="691" t="s">
        <v>121</v>
      </c>
      <c r="I25" s="689" t="s">
        <v>122</v>
      </c>
      <c r="J25" s="1487"/>
      <c r="K25" s="1499"/>
      <c r="L25" s="1499"/>
      <c r="M25" s="1487" t="str">
        <f t="array" ref="M25">IF(ISERROR(MATCH(MID(N25,1,250),MID(note_ter,1,250),0)),"n","y")</f>
        <v>n</v>
      </c>
      <c r="N25" s="1499"/>
      <c r="O25" s="1487" t="str">
        <f>H25&amp;"("&amp;I25&amp;")"</f>
        <v>сельское поселение Ловозеро(47610401)</v>
      </c>
      <c r="P25" s="1041"/>
      <c r="Q25" s="1041"/>
      <c r="R25" s="334"/>
      <c r="S25" s="1041"/>
      <c r="T25" s="1041"/>
      <c r="U25" s="1041"/>
      <c r="V25" s="336"/>
      <c r="W25" s="336"/>
      <c r="X25" s="333"/>
      <c r="Y25" s="333"/>
      <c r="Z25" s="333"/>
      <c r="AA25" s="333"/>
      <c r="AB25" s="333"/>
    </row>
    <row r="26" spans="1:28" ht="15" customHeight="1">
      <c r="A26" s="15970"/>
      <c r="B26" s="1041"/>
      <c r="C26" s="327"/>
      <c r="D26" s="699"/>
      <c r="E26" s="335"/>
      <c r="F26" s="100"/>
      <c r="G26" s="330" t="s">
        <v>101</v>
      </c>
      <c r="H26" s="109"/>
      <c r="I26" s="338"/>
      <c r="J26" s="1499"/>
      <c r="K26" s="1499"/>
      <c r="L26" s="1499"/>
      <c r="M26" s="1499"/>
      <c r="N26" s="1487"/>
      <c r="O26" s="1499"/>
      <c r="P26" s="1041"/>
      <c r="Q26" s="1041"/>
      <c r="R26" s="334"/>
      <c r="S26" s="1041"/>
      <c r="T26" s="1041"/>
      <c r="U26" s="1041"/>
      <c r="V26" s="336"/>
      <c r="W26" s="336"/>
      <c r="X26" s="333"/>
      <c r="Y26" s="333"/>
      <c r="Z26" s="333"/>
      <c r="AA26" s="333"/>
      <c r="AB26" s="333"/>
    </row>
    <row r="27" spans="1:28" ht="15" customHeight="1">
      <c r="A27" s="15970" t="s">
        <v>91</v>
      </c>
      <c r="B27" s="1041"/>
      <c r="C27" s="699" t="s">
        <v>103</v>
      </c>
      <c r="D27" s="1680"/>
      <c r="E27" s="1667" t="str">
        <f>A27</f>
        <v>6</v>
      </c>
      <c r="F27" s="702" t="s">
        <v>123</v>
      </c>
      <c r="G27" s="446" t="str">
        <f>"Территория "&amp;E27</f>
        <v>Территория 6</v>
      </c>
      <c r="H27" s="690"/>
      <c r="I27" s="690"/>
      <c r="J27" s="687"/>
      <c r="K27" s="1487"/>
      <c r="L27" s="1487"/>
      <c r="M27" s="1487"/>
      <c r="N27" s="147"/>
      <c r="O27" s="1487"/>
      <c r="P27" s="146"/>
      <c r="Q27" s="146"/>
      <c r="R27" s="146"/>
      <c r="S27" s="146"/>
      <c r="T27" s="1849"/>
      <c r="U27" s="1849"/>
      <c r="V27" s="1849"/>
      <c r="W27" s="1849"/>
      <c r="X27" s="1849"/>
      <c r="Y27" s="1849"/>
      <c r="Z27" s="1849"/>
      <c r="AA27" s="1849"/>
      <c r="AB27" s="1849"/>
    </row>
    <row r="28" spans="1:28" ht="15" customHeight="1">
      <c r="A28" s="15970"/>
      <c r="B28" s="1041">
        <v>1</v>
      </c>
      <c r="C28" s="1041"/>
      <c r="D28" s="698"/>
      <c r="E28" s="1675" t="str">
        <f>A27&amp;"."&amp;B28</f>
        <v>6.1</v>
      </c>
      <c r="F28" s="701" t="s">
        <v>124</v>
      </c>
      <c r="G28" s="691" t="s">
        <v>125</v>
      </c>
      <c r="H28" s="691" t="s">
        <v>125</v>
      </c>
      <c r="I28" s="689" t="s">
        <v>126</v>
      </c>
      <c r="J28" s="1487"/>
      <c r="K28" s="1499"/>
      <c r="L28" s="1499"/>
      <c r="M28" s="1487" t="str">
        <f t="array" ref="M28">IF(ISERROR(MATCH(MID(N28,1,250),MID(note_ter,1,250),0)),"n","y")</f>
        <v>n</v>
      </c>
      <c r="N28" s="1499"/>
      <c r="O28" s="1487" t="str">
        <f>H28&amp;"("&amp;I28&amp;")"</f>
        <v>город Оленегорск(47526000)</v>
      </c>
      <c r="P28" s="1041"/>
      <c r="Q28" s="1041"/>
      <c r="R28" s="334"/>
      <c r="S28" s="1041"/>
      <c r="T28" s="1041"/>
      <c r="U28" s="1041"/>
      <c r="V28" s="336"/>
      <c r="W28" s="336"/>
      <c r="X28" s="333"/>
      <c r="Y28" s="333"/>
      <c r="Z28" s="333"/>
      <c r="AA28" s="333"/>
      <c r="AB28" s="333"/>
    </row>
    <row r="29" spans="1:28" ht="15" customHeight="1">
      <c r="A29" s="15970"/>
      <c r="B29" s="1041"/>
      <c r="C29" s="327"/>
      <c r="D29" s="699"/>
      <c r="E29" s="335"/>
      <c r="F29" s="100"/>
      <c r="G29" s="330" t="s">
        <v>101</v>
      </c>
      <c r="H29" s="109"/>
      <c r="I29" s="338"/>
      <c r="J29" s="1499"/>
      <c r="K29" s="1499"/>
      <c r="L29" s="1499"/>
      <c r="M29" s="1499"/>
      <c r="N29" s="1487"/>
      <c r="O29" s="1499"/>
      <c r="P29" s="1041"/>
      <c r="Q29" s="1041"/>
      <c r="R29" s="334"/>
      <c r="S29" s="1041"/>
      <c r="T29" s="1041"/>
      <c r="U29" s="1041"/>
      <c r="V29" s="336"/>
      <c r="W29" s="336"/>
      <c r="X29" s="333"/>
      <c r="Y29" s="333"/>
      <c r="Z29" s="333"/>
      <c r="AA29" s="333"/>
      <c r="AB29" s="333"/>
    </row>
    <row r="30" spans="1:28" ht="15" customHeight="1">
      <c r="A30" s="15970" t="s">
        <v>92</v>
      </c>
      <c r="B30" s="1041"/>
      <c r="C30" s="699" t="s">
        <v>103</v>
      </c>
      <c r="D30" s="1680"/>
      <c r="E30" s="1667" t="str">
        <f>A30</f>
        <v>7</v>
      </c>
      <c r="F30" s="702" t="s">
        <v>127</v>
      </c>
      <c r="G30" s="446" t="str">
        <f>"Территория "&amp;E30</f>
        <v>Территория 7</v>
      </c>
      <c r="H30" s="690"/>
      <c r="I30" s="690"/>
      <c r="J30" s="687"/>
      <c r="K30" s="1487"/>
      <c r="L30" s="1487"/>
      <c r="M30" s="1487"/>
      <c r="N30" s="147"/>
      <c r="O30" s="1487"/>
      <c r="P30" s="146"/>
      <c r="Q30" s="146"/>
      <c r="R30" s="146"/>
      <c r="S30" s="146"/>
      <c r="T30" s="1849"/>
      <c r="U30" s="1849"/>
      <c r="V30" s="1849"/>
      <c r="W30" s="1849"/>
      <c r="X30" s="1849"/>
      <c r="Y30" s="1849"/>
      <c r="Z30" s="1849"/>
      <c r="AA30" s="1849"/>
      <c r="AB30" s="1849"/>
    </row>
    <row r="31" spans="1:28" ht="15" customHeight="1">
      <c r="A31" s="15970"/>
      <c r="B31" s="1041">
        <v>1</v>
      </c>
      <c r="C31" s="1041"/>
      <c r="D31" s="698"/>
      <c r="E31" s="1675" t="str">
        <f>A30&amp;"."&amp;B31</f>
        <v>7.1</v>
      </c>
      <c r="F31" s="701" t="s">
        <v>128</v>
      </c>
      <c r="G31" s="691" t="s">
        <v>129</v>
      </c>
      <c r="H31" s="691" t="s">
        <v>130</v>
      </c>
      <c r="I31" s="689" t="s">
        <v>131</v>
      </c>
      <c r="J31" s="1487"/>
      <c r="K31" s="1499"/>
      <c r="L31" s="1499"/>
      <c r="M31" s="1487" t="str">
        <f t="array" ref="M31">IF(ISERROR(MATCH(MID(N31,1,250),MID(note_ter,1,250),0)),"n","y")</f>
        <v>n</v>
      </c>
      <c r="N31" s="1499"/>
      <c r="O31" s="1487" t="str">
        <f>H31&amp;"("&amp;I31&amp;")"</f>
        <v>Поселок Зеленоборский(47608158)</v>
      </c>
      <c r="P31" s="1041"/>
      <c r="Q31" s="1041"/>
      <c r="R31" s="334"/>
      <c r="S31" s="1041"/>
      <c r="T31" s="1041"/>
      <c r="U31" s="1041"/>
      <c r="V31" s="336"/>
      <c r="W31" s="336"/>
      <c r="X31" s="333"/>
      <c r="Y31" s="333"/>
      <c r="Z31" s="333"/>
      <c r="AA31" s="333"/>
      <c r="AB31" s="333"/>
    </row>
    <row r="32" spans="1:28" ht="15" customHeight="1">
      <c r="A32" s="15970"/>
      <c r="B32" s="1041"/>
      <c r="C32" s="327"/>
      <c r="D32" s="699"/>
      <c r="E32" s="335"/>
      <c r="F32" s="100"/>
      <c r="G32" s="330" t="s">
        <v>101</v>
      </c>
      <c r="H32" s="109"/>
      <c r="I32" s="338"/>
      <c r="J32" s="1499"/>
      <c r="K32" s="1499"/>
      <c r="L32" s="1499"/>
      <c r="M32" s="1499"/>
      <c r="N32" s="1487"/>
      <c r="O32" s="1499"/>
      <c r="P32" s="1041"/>
      <c r="Q32" s="1041"/>
      <c r="R32" s="334"/>
      <c r="S32" s="1041"/>
      <c r="T32" s="1041"/>
      <c r="U32" s="1041"/>
      <c r="V32" s="336"/>
      <c r="W32" s="336"/>
      <c r="X32" s="333"/>
      <c r="Y32" s="333"/>
      <c r="Z32" s="333"/>
      <c r="AA32" s="333"/>
      <c r="AB32" s="333"/>
    </row>
    <row r="33" spans="1:28" ht="15" customHeight="1">
      <c r="A33" s="15970" t="s">
        <v>132</v>
      </c>
      <c r="B33" s="1041"/>
      <c r="C33" s="699" t="s">
        <v>103</v>
      </c>
      <c r="D33" s="1680"/>
      <c r="E33" s="1667" t="str">
        <f>A33</f>
        <v>8</v>
      </c>
      <c r="F33" s="702" t="s">
        <v>133</v>
      </c>
      <c r="G33" s="446" t="str">
        <f>"Территория "&amp;E33</f>
        <v>Территория 8</v>
      </c>
      <c r="H33" s="690"/>
      <c r="I33" s="690"/>
      <c r="J33" s="687"/>
      <c r="K33" s="1487"/>
      <c r="L33" s="1487"/>
      <c r="M33" s="1487"/>
      <c r="N33" s="147"/>
      <c r="O33" s="1487"/>
      <c r="P33" s="146"/>
      <c r="Q33" s="146"/>
      <c r="R33" s="146"/>
      <c r="S33" s="146"/>
      <c r="T33" s="1849"/>
      <c r="U33" s="1849"/>
      <c r="V33" s="1849"/>
      <c r="W33" s="1849"/>
      <c r="X33" s="1849"/>
      <c r="Y33" s="1849"/>
      <c r="Z33" s="1849"/>
      <c r="AA33" s="1849"/>
      <c r="AB33" s="1849"/>
    </row>
    <row r="34" spans="1:28" ht="15" customHeight="1">
      <c r="A34" s="15970"/>
      <c r="B34" s="1041">
        <v>1</v>
      </c>
      <c r="C34" s="1041"/>
      <c r="D34" s="698"/>
      <c r="E34" s="1675" t="str">
        <f>A33&amp;"."&amp;B34</f>
        <v>8.1</v>
      </c>
      <c r="F34" s="701" t="s">
        <v>90</v>
      </c>
      <c r="G34" s="691" t="s">
        <v>134</v>
      </c>
      <c r="H34" s="691" t="s">
        <v>134</v>
      </c>
      <c r="I34" s="689" t="s">
        <v>135</v>
      </c>
      <c r="J34" s="1487"/>
      <c r="K34" s="1499"/>
      <c r="L34" s="1499"/>
      <c r="M34" s="1487" t="str">
        <f t="array" ref="M34">IF(ISERROR(MATCH(MID(N34,1,250),MID(note_ter,1,250),0)),"n","y")</f>
        <v>n</v>
      </c>
      <c r="N34" s="1499"/>
      <c r="O34" s="1487" t="str">
        <f>H34&amp;"("&amp;I34&amp;")"</f>
        <v>ЗАТО город Североморск(47730000)</v>
      </c>
      <c r="P34" s="1041"/>
      <c r="Q34" s="1041"/>
      <c r="R34" s="334"/>
      <c r="S34" s="1041"/>
      <c r="T34" s="1041"/>
      <c r="U34" s="1041"/>
      <c r="V34" s="336"/>
      <c r="W34" s="336"/>
      <c r="X34" s="333"/>
      <c r="Y34" s="333"/>
      <c r="Z34" s="333"/>
      <c r="AA34" s="333"/>
      <c r="AB34" s="333"/>
    </row>
    <row r="35" spans="1:28" ht="15" customHeight="1">
      <c r="A35" s="15970"/>
      <c r="B35" s="1041"/>
      <c r="C35" s="327"/>
      <c r="D35" s="699"/>
      <c r="E35" s="335"/>
      <c r="F35" s="100"/>
      <c r="G35" s="330" t="s">
        <v>101</v>
      </c>
      <c r="H35" s="109"/>
      <c r="I35" s="338"/>
      <c r="J35" s="1499"/>
      <c r="K35" s="1499"/>
      <c r="L35" s="1499"/>
      <c r="M35" s="1499"/>
      <c r="N35" s="1487"/>
      <c r="O35" s="1499"/>
      <c r="P35" s="1041"/>
      <c r="Q35" s="1041"/>
      <c r="R35" s="334"/>
      <c r="S35" s="1041"/>
      <c r="T35" s="1041"/>
      <c r="U35" s="1041"/>
      <c r="V35" s="336"/>
      <c r="W35" s="336"/>
      <c r="X35" s="333"/>
      <c r="Y35" s="333"/>
      <c r="Z35" s="333"/>
      <c r="AA35" s="333"/>
      <c r="AB35" s="333"/>
    </row>
    <row r="36" spans="1:28" ht="15" customHeight="1">
      <c r="A36" s="15970" t="s">
        <v>136</v>
      </c>
      <c r="B36" s="1041"/>
      <c r="C36" s="699" t="s">
        <v>103</v>
      </c>
      <c r="D36" s="1680"/>
      <c r="E36" s="1667" t="str">
        <f>A36</f>
        <v>9</v>
      </c>
      <c r="F36" s="702" t="s">
        <v>137</v>
      </c>
      <c r="G36" s="446" t="str">
        <f>"Территория "&amp;E36</f>
        <v>Территория 9</v>
      </c>
      <c r="H36" s="690"/>
      <c r="I36" s="690"/>
      <c r="J36" s="687"/>
      <c r="K36" s="1487"/>
      <c r="L36" s="1487"/>
      <c r="M36" s="1487"/>
      <c r="N36" s="147"/>
      <c r="O36" s="1487"/>
      <c r="P36" s="146"/>
      <c r="Q36" s="146"/>
      <c r="R36" s="146"/>
      <c r="S36" s="146"/>
      <c r="T36" s="1849"/>
      <c r="U36" s="1849"/>
      <c r="V36" s="1849"/>
      <c r="W36" s="1849"/>
      <c r="X36" s="1849"/>
      <c r="Y36" s="1849"/>
      <c r="Z36" s="1849"/>
      <c r="AA36" s="1849"/>
      <c r="AB36" s="1849"/>
    </row>
    <row r="37" spans="1:28" ht="15" customHeight="1">
      <c r="A37" s="15970"/>
      <c r="B37" s="1041">
        <v>1</v>
      </c>
      <c r="C37" s="1041"/>
      <c r="D37" s="698"/>
      <c r="E37" s="1675" t="str">
        <f>A36&amp;"."&amp;B37</f>
        <v>9.1</v>
      </c>
      <c r="F37" s="701" t="s">
        <v>138</v>
      </c>
      <c r="G37" s="691" t="s">
        <v>139</v>
      </c>
      <c r="H37" s="691" t="s">
        <v>139</v>
      </c>
      <c r="I37" s="689" t="s">
        <v>140</v>
      </c>
      <c r="J37" s="1487"/>
      <c r="K37" s="1499"/>
      <c r="L37" s="1499"/>
      <c r="M37" s="1487" t="str">
        <f t="array" ref="M37">IF(ISERROR(MATCH(MID(N37,1,250),MID(note_ter,1,250),0)),"n","y")</f>
        <v>n</v>
      </c>
      <c r="N37" s="1499"/>
      <c r="O37" s="1487" t="str">
        <f>H37&amp;"("&amp;I37&amp;")"</f>
        <v>Ковдорский муниципальный округ(47517000)</v>
      </c>
      <c r="P37" s="1041"/>
      <c r="Q37" s="1041"/>
      <c r="R37" s="334"/>
      <c r="S37" s="1041"/>
      <c r="T37" s="1041"/>
      <c r="U37" s="1041"/>
      <c r="V37" s="336"/>
      <c r="W37" s="336"/>
      <c r="X37" s="333"/>
      <c r="Y37" s="333"/>
      <c r="Z37" s="333"/>
      <c r="AA37" s="333"/>
      <c r="AB37" s="333"/>
    </row>
    <row r="38" spans="1:28" ht="15" customHeight="1">
      <c r="A38" s="15970"/>
      <c r="B38" s="1041"/>
      <c r="C38" s="327"/>
      <c r="D38" s="699"/>
      <c r="E38" s="335"/>
      <c r="F38" s="100"/>
      <c r="G38" s="330" t="s">
        <v>101</v>
      </c>
      <c r="H38" s="109"/>
      <c r="I38" s="338"/>
      <c r="J38" s="1499"/>
      <c r="K38" s="1499"/>
      <c r="L38" s="1499"/>
      <c r="M38" s="1499"/>
      <c r="N38" s="1487"/>
      <c r="O38" s="1499"/>
      <c r="P38" s="1041"/>
      <c r="Q38" s="1041"/>
      <c r="R38" s="334"/>
      <c r="S38" s="1041"/>
      <c r="T38" s="1041"/>
      <c r="U38" s="1041"/>
      <c r="V38" s="336"/>
      <c r="W38" s="336"/>
      <c r="X38" s="333"/>
      <c r="Y38" s="333"/>
      <c r="Z38" s="333"/>
      <c r="AA38" s="333"/>
      <c r="AB38" s="333"/>
    </row>
    <row r="39" spans="1:28" s="14357" customFormat="1" ht="14.25" customHeight="1">
      <c r="A39" s="656"/>
      <c r="B39" s="332"/>
      <c r="C39" s="656"/>
      <c r="D39" s="680"/>
      <c r="E39" s="692"/>
      <c r="F39" s="101"/>
      <c r="G39" s="331" t="s">
        <v>141</v>
      </c>
      <c r="H39" s="101"/>
      <c r="I39" s="102"/>
      <c r="J39" s="168"/>
      <c r="K39" s="79"/>
      <c r="L39" s="79"/>
      <c r="M39" s="79"/>
      <c r="N39" s="147" t="s">
        <v>142</v>
      </c>
      <c r="O39" s="79"/>
      <c r="P39" s="146"/>
      <c r="Q39" s="146"/>
      <c r="R39" s="146"/>
      <c r="S39" s="146"/>
    </row>
    <row r="40" spans="1:28" s="14357" customFormat="1" ht="21" customHeight="1">
      <c r="A40" s="656"/>
      <c r="B40" s="332"/>
      <c r="C40" s="656"/>
      <c r="D40" s="88"/>
      <c r="E40" s="103"/>
      <c r="F40" s="103"/>
      <c r="G40" s="103"/>
      <c r="H40" s="103"/>
      <c r="I40" s="103"/>
      <c r="J40" s="79"/>
      <c r="K40" s="79"/>
      <c r="L40" s="79"/>
      <c r="M40" s="79"/>
      <c r="N40" s="147"/>
      <c r="O40" s="79"/>
      <c r="P40" s="146"/>
      <c r="Q40" s="146"/>
      <c r="R40" s="146"/>
      <c r="S40" s="146"/>
    </row>
    <row r="41" spans="1:28" s="14357" customFormat="1" ht="14.25" customHeight="1">
      <c r="A41" s="656"/>
      <c r="B41" s="332"/>
      <c r="C41" s="656"/>
      <c r="D41" s="88"/>
      <c r="E41" s="19"/>
      <c r="F41" s="656"/>
      <c r="G41" s="19"/>
      <c r="H41" s="19"/>
      <c r="I41" s="19"/>
      <c r="J41" s="79"/>
      <c r="K41" s="79"/>
      <c r="L41" s="79"/>
      <c r="M41" s="79"/>
      <c r="N41" s="147"/>
      <c r="O41" s="79"/>
      <c r="P41" s="146"/>
      <c r="Q41" s="146"/>
      <c r="R41" s="146"/>
      <c r="S41" s="146"/>
    </row>
    <row r="42" spans="1:28" s="14357" customFormat="1" ht="0.75" customHeight="1">
      <c r="A42" s="656"/>
      <c r="B42" s="332"/>
      <c r="C42" s="656"/>
      <c r="D42" s="88"/>
      <c r="E42" s="19"/>
      <c r="F42" s="656"/>
      <c r="G42" s="19"/>
      <c r="H42" s="19"/>
      <c r="I42" s="19"/>
      <c r="J42" s="79"/>
      <c r="K42" s="79"/>
      <c r="L42" s="79"/>
      <c r="M42" s="79"/>
      <c r="N42" s="147"/>
      <c r="O42" s="79"/>
      <c r="P42" s="146"/>
      <c r="Q42" s="146"/>
      <c r="R42" s="146"/>
      <c r="S42" s="146"/>
    </row>
    <row r="43" spans="1:28" s="14360" customFormat="1" ht="10.5" customHeight="1">
      <c r="B43" s="732"/>
      <c r="D43" s="105"/>
      <c r="J43" s="79"/>
      <c r="K43" s="79"/>
      <c r="L43" s="79"/>
      <c r="M43" s="79"/>
      <c r="N43" s="147"/>
      <c r="O43" s="79"/>
      <c r="P43" s="146"/>
      <c r="Q43" s="146"/>
      <c r="R43" s="146"/>
      <c r="S43" s="146"/>
    </row>
    <row r="44" spans="1:28" s="14360" customFormat="1" ht="10.5" customHeight="1">
      <c r="B44" s="732"/>
      <c r="D44" s="105"/>
      <c r="J44" s="79"/>
      <c r="K44" s="79"/>
      <c r="L44" s="79"/>
      <c r="M44" s="79"/>
      <c r="N44" s="147"/>
      <c r="O44" s="79"/>
      <c r="P44" s="146"/>
      <c r="Q44" s="146"/>
      <c r="R44" s="146"/>
      <c r="S44" s="146"/>
    </row>
    <row r="48" spans="1:28" ht="14.25" customHeight="1">
      <c r="H48" s="3"/>
    </row>
    <row r="52" spans="10:12" ht="14.25" customHeight="1">
      <c r="J52" s="19"/>
      <c r="K52" s="19"/>
      <c r="L52" s="19"/>
    </row>
  </sheetData>
  <sheetProtection formatColumns="0" formatRows="0" insertRows="0" deleteColumns="0" deleteRows="0" sort="0" autoFilter="0"/>
  <mergeCells count="12">
    <mergeCell ref="A33:A35"/>
    <mergeCell ref="A36:A38"/>
    <mergeCell ref="A18:A20"/>
    <mergeCell ref="A21:A23"/>
    <mergeCell ref="A24:A26"/>
    <mergeCell ref="A27:A29"/>
    <mergeCell ref="A30:A32"/>
    <mergeCell ref="A12:A14"/>
    <mergeCell ref="E4:I4"/>
    <mergeCell ref="E8:G8"/>
    <mergeCell ref="H8:I8"/>
    <mergeCell ref="A15:A17"/>
  </mergeCells>
  <dataValidations count="9">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4372" hidden="1" customWidth="1"/>
    <col min="2" max="2" width="2" style="14372" hidden="1" customWidth="1"/>
    <col min="3" max="3" width="3.7109375" style="14372" customWidth="1"/>
    <col min="4" max="4" width="4.28515625" style="14372" customWidth="1"/>
    <col min="5" max="5" width="45" style="14372" customWidth="1"/>
    <col min="6" max="6" width="6.42578125" style="14372" customWidth="1"/>
    <col min="7" max="7" width="4.42578125" style="14372" customWidth="1"/>
    <col min="8" max="8" width="5.5703125" style="14372" customWidth="1"/>
    <col min="9" max="9" width="52.85546875" style="14372" customWidth="1"/>
    <col min="10" max="10" width="7" style="14372" customWidth="1"/>
    <col min="11" max="11" width="3.7109375" style="14372" customWidth="1"/>
    <col min="12" max="12" width="6.28515625" style="14372" customWidth="1"/>
    <col min="13" max="13" width="56.28515625" style="14372" customWidth="1"/>
    <col min="14" max="14" width="9.140625" style="14373"/>
    <col min="15" max="20" width="9.140625" style="14374" hidden="1"/>
    <col min="21" max="24" width="9.140625" style="14375" hidden="1"/>
    <col min="25" max="37" width="9.140625" style="14373" hidden="1"/>
    <col min="38" max="38" width="9.140625" style="14373"/>
  </cols>
  <sheetData>
    <row r="1" spans="1:38" ht="11.25" hidden="1" customHeight="1"/>
    <row r="2" spans="1:38" ht="11.25" hidden="1" customHeight="1"/>
    <row r="4" spans="1:38" ht="34.5" customHeight="1">
      <c r="A4" s="490"/>
      <c r="B4" s="490"/>
      <c r="D4" s="15985" t="str">
        <f>Титульный!E5</f>
        <v>Показатели, подлежащие раскрытию в сфере горячего водоснабжения (цены и тарифы)</v>
      </c>
      <c r="E4" s="15986"/>
      <c r="F4" s="15986"/>
      <c r="G4" s="15986"/>
      <c r="H4" s="15986"/>
      <c r="I4" s="15987"/>
      <c r="J4" s="489"/>
      <c r="K4" s="489"/>
      <c r="L4" s="489"/>
      <c r="M4" s="489"/>
    </row>
    <row r="5" spans="1:38" s="14368" customFormat="1" ht="15" customHeight="1">
      <c r="A5" s="490"/>
      <c r="B5" s="490"/>
      <c r="C5" s="490"/>
      <c r="D5" s="15988" t="str">
        <f>IF(org=0,"Не определено",org)</f>
        <v>АО "Мурманэнергосбыт"</v>
      </c>
      <c r="E5" s="15989"/>
      <c r="F5" s="15989"/>
      <c r="G5" s="15989"/>
      <c r="H5" s="15989"/>
      <c r="I5" s="15990"/>
      <c r="J5" s="491"/>
      <c r="K5" s="491"/>
      <c r="L5" s="491"/>
      <c r="M5" s="491"/>
      <c r="N5" s="491"/>
      <c r="O5" s="764"/>
      <c r="P5" s="764"/>
      <c r="Q5" s="764"/>
      <c r="R5" s="764"/>
      <c r="S5" s="764"/>
      <c r="T5" s="764"/>
      <c r="U5" s="1144"/>
      <c r="V5" s="1144"/>
      <c r="W5" s="1144"/>
      <c r="X5" s="1144"/>
      <c r="Y5" s="491"/>
      <c r="Z5" s="491"/>
      <c r="AA5" s="491"/>
      <c r="AB5" s="491"/>
      <c r="AC5" s="491"/>
      <c r="AD5" s="491"/>
      <c r="AE5" s="491"/>
      <c r="AF5" s="491"/>
      <c r="AG5" s="491"/>
      <c r="AH5" s="491"/>
      <c r="AI5" s="491"/>
      <c r="AJ5" s="491"/>
      <c r="AK5" s="491"/>
      <c r="AL5" s="491"/>
    </row>
    <row r="6" spans="1:38" s="14369" customFormat="1" ht="6" customHeight="1">
      <c r="A6" s="15966"/>
      <c r="B6" s="15966"/>
      <c r="C6" s="15966"/>
      <c r="D6" s="15966"/>
      <c r="E6" s="15966"/>
      <c r="F6" s="15966"/>
      <c r="G6" s="492"/>
      <c r="H6" s="492"/>
      <c r="I6" s="492"/>
      <c r="J6" s="492"/>
      <c r="K6" s="492"/>
      <c r="N6" s="494"/>
      <c r="O6" s="1291"/>
      <c r="P6" s="1291"/>
      <c r="Q6" s="1291"/>
      <c r="R6" s="1291"/>
      <c r="S6" s="1291"/>
      <c r="T6" s="1291"/>
      <c r="U6" s="1146"/>
      <c r="V6" s="1146"/>
      <c r="W6" s="1146"/>
      <c r="X6" s="1146"/>
      <c r="Y6" s="494"/>
      <c r="Z6" s="494"/>
      <c r="AA6" s="494"/>
      <c r="AB6" s="494"/>
      <c r="AC6" s="494"/>
      <c r="AD6" s="494"/>
      <c r="AE6" s="494"/>
      <c r="AF6" s="494"/>
      <c r="AG6" s="494"/>
      <c r="AH6" s="494"/>
      <c r="AI6" s="494"/>
      <c r="AJ6" s="494"/>
      <c r="AK6" s="494"/>
      <c r="AL6" s="494"/>
    </row>
    <row r="7" spans="1:38" ht="45.75" hidden="1" customHeight="1">
      <c r="E7" s="159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5996"/>
      <c r="G7" s="15996"/>
      <c r="H7" s="15996"/>
      <c r="I7" s="15996"/>
      <c r="J7" s="15996"/>
      <c r="K7" s="15996"/>
      <c r="L7" s="15996"/>
      <c r="M7" s="15996"/>
    </row>
    <row r="8" spans="1:38" s="14368" customFormat="1" ht="6" customHeight="1">
      <c r="A8" s="495"/>
      <c r="B8" s="495"/>
      <c r="C8" s="495"/>
      <c r="D8" s="495"/>
      <c r="E8" s="495"/>
      <c r="F8" s="495"/>
      <c r="G8" s="495"/>
      <c r="H8" s="495"/>
      <c r="I8" s="495"/>
      <c r="J8" s="495"/>
      <c r="K8" s="495"/>
      <c r="L8" s="495"/>
      <c r="M8" s="493"/>
      <c r="N8" s="491"/>
      <c r="O8" s="764"/>
      <c r="P8" s="764"/>
      <c r="Q8" s="764"/>
      <c r="R8" s="764"/>
      <c r="S8" s="764"/>
      <c r="T8" s="764"/>
      <c r="U8" s="1144"/>
      <c r="V8" s="1144"/>
      <c r="W8" s="1144"/>
      <c r="X8" s="1144"/>
      <c r="Y8" s="491"/>
      <c r="Z8" s="491"/>
      <c r="AA8" s="491"/>
      <c r="AB8" s="491"/>
      <c r="AC8" s="491"/>
      <c r="AD8" s="491"/>
      <c r="AE8" s="491"/>
      <c r="AF8" s="491"/>
      <c r="AG8" s="491"/>
      <c r="AH8" s="491"/>
      <c r="AI8" s="491"/>
      <c r="AJ8" s="491"/>
      <c r="AK8" s="491"/>
      <c r="AL8" s="491"/>
    </row>
    <row r="9" spans="1:38" ht="18" customHeight="1">
      <c r="A9" s="15991"/>
      <c r="B9" s="240"/>
      <c r="C9" s="240"/>
      <c r="D9" s="15992" t="s">
        <v>143</v>
      </c>
      <c r="E9" s="15992"/>
      <c r="F9" s="15993" t="s">
        <v>144</v>
      </c>
      <c r="G9" s="15994"/>
      <c r="H9" s="15994"/>
      <c r="I9" s="15994"/>
      <c r="J9" s="15997" t="s">
        <v>145</v>
      </c>
      <c r="K9" s="15997"/>
      <c r="L9" s="15997"/>
      <c r="M9" s="15997"/>
    </row>
    <row r="10" spans="1:38" ht="22.5" customHeight="1">
      <c r="A10" s="15991"/>
      <c r="B10" s="496"/>
      <c r="C10" s="432"/>
      <c r="D10" s="430" t="s">
        <v>87</v>
      </c>
      <c r="E10" s="430" t="s">
        <v>88</v>
      </c>
      <c r="F10" s="430" t="s">
        <v>146</v>
      </c>
      <c r="G10" s="15998" t="s">
        <v>87</v>
      </c>
      <c r="H10" s="15999"/>
      <c r="I10" s="430" t="s">
        <v>88</v>
      </c>
      <c r="J10" s="430" t="s">
        <v>146</v>
      </c>
      <c r="K10" s="15998" t="s">
        <v>87</v>
      </c>
      <c r="L10" s="15999"/>
      <c r="M10" s="430" t="s">
        <v>88</v>
      </c>
      <c r="N10" s="1490"/>
    </row>
    <row r="11" spans="1:38" s="14370" customFormat="1" ht="11.25" hidden="1" customHeight="1">
      <c r="A11" s="497"/>
      <c r="B11" s="497"/>
      <c r="C11" s="497"/>
      <c r="D11" s="498" t="s">
        <v>147</v>
      </c>
      <c r="E11" s="498" t="s">
        <v>102</v>
      </c>
      <c r="F11" s="498" t="s">
        <v>89</v>
      </c>
      <c r="G11" s="15981" t="s">
        <v>90</v>
      </c>
      <c r="H11" s="15982"/>
      <c r="I11" s="498" t="s">
        <v>117</v>
      </c>
      <c r="J11" s="498" t="s">
        <v>91</v>
      </c>
      <c r="K11" s="15983" t="s">
        <v>92</v>
      </c>
      <c r="L11" s="15984"/>
      <c r="M11" s="498" t="s">
        <v>132</v>
      </c>
      <c r="N11" s="1489"/>
      <c r="O11" s="1290"/>
      <c r="P11" s="1292"/>
      <c r="Q11" s="1292"/>
      <c r="R11" s="1292"/>
      <c r="S11" s="1292"/>
      <c r="T11" s="1292"/>
      <c r="U11" s="1147"/>
      <c r="V11" s="1147"/>
      <c r="W11" s="1147"/>
      <c r="X11" s="1147"/>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7"/>
      <c r="L12" s="282"/>
      <c r="M12" s="504"/>
      <c r="N12" s="1490"/>
      <c r="O12" s="1290" t="s">
        <v>148</v>
      </c>
      <c r="P12" s="1290" t="s">
        <v>149</v>
      </c>
      <c r="Q12" s="1290" t="s">
        <v>150</v>
      </c>
      <c r="R12" s="1290" t="s">
        <v>151</v>
      </c>
    </row>
    <row r="13" spans="1:38" s="14371" customFormat="1" ht="15" customHeight="1">
      <c r="A13" s="210"/>
      <c r="B13" s="210"/>
      <c r="C13" s="433"/>
      <c r="D13" s="15974" t="s">
        <v>147</v>
      </c>
      <c r="E13" s="15975"/>
      <c r="F13" s="15978" t="s">
        <v>66</v>
      </c>
      <c r="G13" s="15979"/>
      <c r="H13" s="15980">
        <v>1</v>
      </c>
      <c r="I13" s="15971" t="str">
        <f>IF(U13="","",INDEX(TERRITORY_MR_LIST,MATCH(U13,TERRITORY_LIST_ID,0)))</f>
        <v/>
      </c>
      <c r="J13" s="15973" t="s">
        <v>56</v>
      </c>
      <c r="K13" s="505"/>
      <c r="L13" s="434" t="s">
        <v>147</v>
      </c>
      <c r="M13" s="506" t="s">
        <v>24</v>
      </c>
      <c r="N13" s="710"/>
      <c r="O13" s="1293" t="s">
        <v>152</v>
      </c>
      <c r="P13" s="1290">
        <f>$E$13</f>
        <v>0</v>
      </c>
      <c r="Q13" s="1290" t="str">
        <f>IF($F$13="нет","без дифференциации",$I$13)</f>
        <v/>
      </c>
      <c r="R13" s="1290" t="str">
        <f>IF($J$13="нет","без дифференциации",M13)</f>
        <v>без дифференциации</v>
      </c>
      <c r="S13" s="1293"/>
      <c r="T13" s="1293"/>
      <c r="U13" s="1148"/>
      <c r="V13" s="1148"/>
      <c r="W13" s="1148"/>
      <c r="X13" s="1148"/>
      <c r="Y13" s="507" t="s">
        <v>153</v>
      </c>
      <c r="Z13" s="507">
        <v>1705000</v>
      </c>
      <c r="AA13" s="507"/>
      <c r="AB13" s="507"/>
      <c r="AC13" s="507"/>
      <c r="AD13" s="507"/>
      <c r="AE13" s="507"/>
      <c r="AF13" s="507"/>
      <c r="AG13" s="507"/>
      <c r="AH13" s="507"/>
      <c r="AI13" s="507"/>
      <c r="AJ13" s="507"/>
      <c r="AK13" s="507"/>
      <c r="AL13" s="507"/>
    </row>
    <row r="14" spans="1:38" s="14371" customFormat="1" ht="15" customHeight="1">
      <c r="A14" s="210"/>
      <c r="B14" s="210"/>
      <c r="C14" s="99"/>
      <c r="D14" s="15974"/>
      <c r="E14" s="15976"/>
      <c r="F14" s="15973"/>
      <c r="G14" s="15979"/>
      <c r="H14" s="15980"/>
      <c r="I14" s="15972"/>
      <c r="J14" s="15973"/>
      <c r="K14" s="335"/>
      <c r="L14" s="100"/>
      <c r="M14" s="509" t="s">
        <v>154</v>
      </c>
      <c r="N14" s="710"/>
      <c r="O14" s="1293"/>
      <c r="P14" s="1290"/>
      <c r="Q14" s="1290"/>
      <c r="R14" s="1290"/>
      <c r="S14" s="1293"/>
      <c r="T14" s="1293"/>
      <c r="U14" s="1148"/>
      <c r="V14" s="1148"/>
      <c r="W14" s="1148"/>
      <c r="X14" s="1148"/>
      <c r="Y14" s="507"/>
      <c r="Z14" s="507"/>
      <c r="AA14" s="507"/>
      <c r="AB14" s="507"/>
      <c r="AC14" s="507"/>
      <c r="AD14" s="507"/>
      <c r="AE14" s="507"/>
      <c r="AF14" s="507"/>
      <c r="AG14" s="507"/>
      <c r="AH14" s="507"/>
      <c r="AI14" s="507"/>
      <c r="AJ14" s="507"/>
      <c r="AK14" s="507"/>
      <c r="AL14" s="507"/>
    </row>
    <row r="15" spans="1:38" s="14371" customFormat="1" ht="15" customHeight="1">
      <c r="A15" s="210"/>
      <c r="B15" s="210"/>
      <c r="C15" s="99"/>
      <c r="D15" s="15974"/>
      <c r="E15" s="15977"/>
      <c r="F15" s="15973"/>
      <c r="G15" s="948"/>
      <c r="H15" s="949"/>
      <c r="I15" s="486" t="s">
        <v>155</v>
      </c>
      <c r="J15" s="100"/>
      <c r="K15" s="100"/>
      <c r="L15" s="100"/>
      <c r="M15" s="510"/>
      <c r="N15" s="710"/>
      <c r="O15" s="1293"/>
      <c r="P15" s="1290"/>
      <c r="Q15" s="1290"/>
      <c r="R15" s="1290"/>
      <c r="S15" s="1293"/>
      <c r="T15" s="1293"/>
      <c r="U15" s="1148"/>
      <c r="V15" s="1148"/>
      <c r="W15" s="1148"/>
      <c r="X15" s="1148"/>
      <c r="Y15" s="507"/>
      <c r="Z15" s="507"/>
      <c r="AA15" s="507"/>
      <c r="AB15" s="507"/>
      <c r="AC15" s="507"/>
      <c r="AD15" s="507"/>
      <c r="AE15" s="507"/>
      <c r="AF15" s="507"/>
      <c r="AG15" s="507"/>
      <c r="AH15" s="507"/>
      <c r="AI15" s="507"/>
      <c r="AJ15" s="507"/>
      <c r="AK15" s="507"/>
      <c r="AL15" s="507"/>
    </row>
    <row r="16" spans="1:38" ht="15" customHeight="1">
      <c r="A16" s="511"/>
      <c r="B16" s="63"/>
      <c r="C16" s="704"/>
      <c r="D16" s="335"/>
      <c r="E16" s="477" t="s">
        <v>156</v>
      </c>
      <c r="F16" s="100"/>
      <c r="G16" s="100"/>
      <c r="H16" s="100"/>
      <c r="I16" s="100"/>
      <c r="J16" s="100"/>
      <c r="K16" s="100" t="s">
        <v>24</v>
      </c>
      <c r="L16" s="100"/>
      <c r="M16" s="510"/>
      <c r="N16" s="149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230"/>
  <sheetViews>
    <sheetView showGridLines="0" topLeftCell="C4" zoomScale="90" workbookViewId="0">
      <selection activeCell="O187" sqref="O187:O189"/>
    </sheetView>
  </sheetViews>
  <sheetFormatPr defaultColWidth="9.140625" defaultRowHeight="11.25" customHeight="1"/>
  <cols>
    <col min="1" max="2" width="3.7109375" style="14387" hidden="1" customWidth="1"/>
    <col min="3" max="3" width="3.7109375" style="14388" customWidth="1"/>
    <col min="4" max="4" width="6.140625" style="14388" customWidth="1"/>
    <col min="5" max="5" width="43.140625" style="14388" customWidth="1"/>
    <col min="6" max="6" width="15" style="14381" customWidth="1"/>
    <col min="7" max="7" width="43.140625" style="14388" customWidth="1"/>
    <col min="8" max="8" width="3.7109375" style="14388" customWidth="1"/>
    <col min="9" max="9" width="5.42578125" style="14388" customWidth="1"/>
    <col min="10" max="10" width="47.85546875" style="14388" customWidth="1"/>
    <col min="11" max="12" width="3.7109375" style="14388" customWidth="1"/>
    <col min="13" max="13" width="5.7109375" style="14388" customWidth="1"/>
    <col min="14" max="14" width="28.140625" style="14388" customWidth="1"/>
    <col min="15" max="16" width="3.7109375" style="14388" customWidth="1"/>
    <col min="17" max="17" width="5.7109375" style="14388" customWidth="1"/>
    <col min="18" max="18" width="34.42578125" style="14388" customWidth="1"/>
    <col min="19" max="20" width="3.7109375" style="14389" hidden="1" customWidth="1"/>
    <col min="21" max="21" width="5.7109375" style="14389" hidden="1" customWidth="1"/>
    <col min="22" max="22" width="34.42578125" style="14389" hidden="1" customWidth="1"/>
    <col min="23" max="23" width="30.7109375" style="14388" customWidth="1"/>
    <col min="24" max="24" width="3.7109375" style="14388" customWidth="1"/>
    <col min="25" max="25" width="9.85546875" style="14390" customWidth="1"/>
    <col min="26" max="28" width="9.85546875" style="14390" hidden="1" customWidth="1"/>
    <col min="29" max="29" width="27" style="14390" hidden="1" customWidth="1"/>
    <col min="30" max="30" width="10.5703125" style="14390" hidden="1" customWidth="1"/>
    <col min="31" max="31" width="10.7109375" style="14390" hidden="1" customWidth="1"/>
    <col min="32" max="32" width="10" style="14390" hidden="1" customWidth="1"/>
    <col min="33" max="33" width="12.85546875" style="14390" hidden="1" customWidth="1"/>
    <col min="34" max="34" width="24.42578125" style="14390" hidden="1" customWidth="1"/>
    <col min="35" max="35" width="15.85546875" style="14390" hidden="1" customWidth="1"/>
    <col min="36" max="36" width="19.42578125" style="14390" hidden="1" customWidth="1"/>
    <col min="37" max="37" width="11" style="14390" hidden="1" customWidth="1"/>
    <col min="38" max="38" width="23.5703125" style="14390" hidden="1" customWidth="1"/>
    <col min="39" max="39" width="23.85546875" style="14390" hidden="1" customWidth="1"/>
    <col min="40" max="40" width="25.28515625" style="14390" hidden="1" customWidth="1"/>
    <col min="41" max="41" width="16.85546875" style="14390" hidden="1" customWidth="1"/>
    <col min="42" max="42" width="29.5703125" style="14390" hidden="1" customWidth="1"/>
    <col min="43" max="43" width="29.85546875" style="14390" hidden="1" customWidth="1"/>
  </cols>
  <sheetData>
    <row r="1" spans="1:43" ht="11.25" hidden="1" customHeight="1">
      <c r="A1" s="80"/>
    </row>
    <row r="2" spans="1:43" ht="11.25" hidden="1" customHeight="1"/>
    <row r="3" spans="1:43" ht="11.25" hidden="1" customHeight="1"/>
    <row r="4" spans="1:43" ht="3" customHeight="1"/>
    <row r="5" spans="1:43" s="14376" customFormat="1" ht="29.25" customHeight="1">
      <c r="A5" s="78"/>
      <c r="B5" s="78"/>
      <c r="D5" s="160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6023"/>
      <c r="F5" s="16023"/>
      <c r="G5" s="16023"/>
      <c r="H5" s="16023"/>
      <c r="I5" s="16023"/>
      <c r="J5" s="16024"/>
      <c r="K5" s="184"/>
      <c r="L5" s="69"/>
      <c r="M5" s="69"/>
      <c r="N5" s="69"/>
      <c r="O5" s="69"/>
      <c r="P5" s="69"/>
      <c r="Q5" s="69"/>
      <c r="R5" s="69"/>
      <c r="S5" s="207"/>
      <c r="T5" s="207"/>
      <c r="U5" s="207"/>
      <c r="V5" s="207"/>
      <c r="W5" s="69"/>
      <c r="Y5" s="1143"/>
      <c r="Z5" s="1143"/>
      <c r="AA5" s="1143"/>
      <c r="AB5" s="1143"/>
      <c r="AC5" s="1143"/>
      <c r="AD5" s="1143"/>
      <c r="AE5" s="1143"/>
      <c r="AF5" s="1143"/>
      <c r="AG5" s="1143"/>
      <c r="AH5" s="1143"/>
      <c r="AI5" s="1143"/>
      <c r="AJ5" s="1143"/>
      <c r="AK5" s="1143"/>
      <c r="AL5" s="1143"/>
      <c r="AM5" s="1143"/>
      <c r="AN5" s="1143"/>
      <c r="AO5" s="1143"/>
      <c r="AP5" s="1143"/>
      <c r="AQ5" s="1143"/>
    </row>
    <row r="6" spans="1:43" s="14368" customFormat="1" ht="15" customHeight="1">
      <c r="A6" s="490"/>
      <c r="B6" s="490"/>
      <c r="C6" s="490"/>
      <c r="D6" s="16028" t="str">
        <f>IF(org=0,"Не определено",org)</f>
        <v>АО "Мурманэнергосбыт"</v>
      </c>
      <c r="E6" s="16028"/>
      <c r="F6" s="16028"/>
      <c r="G6" s="16028"/>
      <c r="H6" s="16028"/>
      <c r="I6" s="16028"/>
      <c r="J6" s="16028"/>
      <c r="K6" s="491"/>
      <c r="L6" s="491"/>
      <c r="M6" s="491"/>
      <c r="N6" s="491"/>
      <c r="O6" s="764"/>
      <c r="P6" s="764"/>
      <c r="Q6" s="764"/>
      <c r="R6" s="764"/>
      <c r="S6" s="764"/>
      <c r="T6" s="764"/>
      <c r="U6" s="764"/>
      <c r="V6" s="764"/>
      <c r="W6" s="764"/>
      <c r="X6" s="491"/>
      <c r="Y6" s="1144"/>
      <c r="Z6" s="1144"/>
      <c r="AA6" s="1144"/>
      <c r="AB6" s="1144"/>
      <c r="AC6" s="1144"/>
      <c r="AD6" s="1144"/>
      <c r="AE6" s="1144"/>
      <c r="AF6" s="1144"/>
      <c r="AG6" s="1144"/>
      <c r="AH6" s="1144"/>
      <c r="AI6" s="1144"/>
      <c r="AJ6" s="1144"/>
      <c r="AK6" s="1144"/>
      <c r="AL6" s="1144"/>
      <c r="AM6" s="1144"/>
      <c r="AN6" s="1144"/>
      <c r="AO6" s="1144"/>
      <c r="AP6" s="1144"/>
      <c r="AQ6" s="1144"/>
    </row>
    <row r="7" spans="1:43" s="14377" customFormat="1" ht="11.25" customHeight="1">
      <c r="A7" s="133"/>
      <c r="B7" s="133"/>
      <c r="D7" s="16025"/>
      <c r="E7" s="16026"/>
      <c r="F7" s="16026"/>
      <c r="G7" s="16026"/>
      <c r="H7" s="16026"/>
      <c r="I7" s="16026"/>
      <c r="J7" s="16027"/>
      <c r="S7" s="216"/>
      <c r="T7" s="216"/>
      <c r="U7" s="216"/>
      <c r="V7" s="216"/>
      <c r="Y7" s="1145"/>
      <c r="Z7" s="1145"/>
      <c r="AA7" s="1145"/>
      <c r="AB7" s="1145"/>
      <c r="AC7" s="1145"/>
      <c r="AD7" s="1145"/>
      <c r="AE7" s="1145"/>
      <c r="AF7" s="1145"/>
      <c r="AG7" s="1145"/>
      <c r="AH7" s="1145"/>
      <c r="AI7" s="1145"/>
      <c r="AJ7" s="1145"/>
      <c r="AK7" s="1145"/>
      <c r="AL7" s="1145"/>
      <c r="AM7" s="1145"/>
      <c r="AN7" s="1145"/>
      <c r="AO7" s="1145"/>
      <c r="AP7" s="1145"/>
      <c r="AQ7" s="1145"/>
    </row>
    <row r="8" spans="1:43" s="14376" customFormat="1" ht="0.75" customHeight="1">
      <c r="A8" s="78"/>
      <c r="B8" s="78"/>
      <c r="D8" s="134"/>
      <c r="E8" s="134"/>
      <c r="F8" s="134"/>
      <c r="G8" s="134"/>
      <c r="H8" s="134"/>
      <c r="I8" s="134"/>
      <c r="J8" s="134"/>
      <c r="K8" s="134"/>
      <c r="L8" s="134"/>
      <c r="M8" s="134"/>
      <c r="N8" s="134"/>
      <c r="O8" s="134"/>
      <c r="P8" s="134"/>
      <c r="Q8" s="134"/>
      <c r="R8" s="134"/>
      <c r="S8" s="134"/>
      <c r="T8" s="134"/>
      <c r="U8" s="134"/>
      <c r="V8" s="134"/>
      <c r="W8" s="134"/>
      <c r="X8" s="60"/>
      <c r="Y8" s="1143"/>
      <c r="Z8" s="1143"/>
      <c r="AA8" s="1143"/>
      <c r="AB8" s="1143"/>
      <c r="AC8" s="1143"/>
      <c r="AD8" s="1143"/>
      <c r="AE8" s="1143"/>
      <c r="AF8" s="1143"/>
      <c r="AG8" s="1143"/>
      <c r="AH8" s="1143"/>
      <c r="AI8" s="1143"/>
      <c r="AJ8" s="1143"/>
      <c r="AK8" s="1143"/>
      <c r="AL8" s="1143"/>
      <c r="AM8" s="1143"/>
      <c r="AN8" s="1143"/>
      <c r="AO8" s="1143"/>
      <c r="AP8" s="1143"/>
      <c r="AQ8" s="1143"/>
    </row>
    <row r="9" spans="1:43" ht="27" customHeight="1">
      <c r="D9" s="15992" t="s">
        <v>87</v>
      </c>
      <c r="E9" s="15963" t="s">
        <v>157</v>
      </c>
      <c r="F9" s="15962"/>
      <c r="G9" s="15992" t="s">
        <v>143</v>
      </c>
      <c r="H9" s="15992" t="s">
        <v>87</v>
      </c>
      <c r="I9" s="15992"/>
      <c r="J9" s="15992" t="s">
        <v>158</v>
      </c>
      <c r="K9" s="16020" t="s">
        <v>159</v>
      </c>
      <c r="L9" s="16020"/>
      <c r="M9" s="16020"/>
      <c r="N9" s="16020"/>
      <c r="O9" s="16020" t="s">
        <v>160</v>
      </c>
      <c r="P9" s="16020"/>
      <c r="Q9" s="16020"/>
      <c r="R9" s="16020"/>
      <c r="S9" s="16020" t="s">
        <v>161</v>
      </c>
      <c r="T9" s="16020"/>
      <c r="U9" s="16020"/>
      <c r="V9" s="16020"/>
      <c r="W9" s="15992" t="s">
        <v>162</v>
      </c>
    </row>
    <row r="10" spans="1:43" ht="30" customHeight="1">
      <c r="D10" s="15992"/>
      <c r="E10" s="1165" t="s">
        <v>88</v>
      </c>
      <c r="F10" s="1165" t="s">
        <v>163</v>
      </c>
      <c r="G10" s="15992"/>
      <c r="H10" s="15992"/>
      <c r="I10" s="15992"/>
      <c r="J10" s="15992"/>
      <c r="K10" s="43" t="s">
        <v>146</v>
      </c>
      <c r="L10" s="15992" t="s">
        <v>87</v>
      </c>
      <c r="M10" s="15992"/>
      <c r="N10" s="43" t="s">
        <v>164</v>
      </c>
      <c r="O10" s="43" t="s">
        <v>146</v>
      </c>
      <c r="P10" s="15992" t="s">
        <v>87</v>
      </c>
      <c r="Q10" s="15992"/>
      <c r="R10" s="43" t="s">
        <v>164</v>
      </c>
      <c r="S10" s="200" t="s">
        <v>146</v>
      </c>
      <c r="T10" s="15992" t="s">
        <v>87</v>
      </c>
      <c r="U10" s="15992"/>
      <c r="V10" s="200" t="s">
        <v>88</v>
      </c>
      <c r="W10" s="15992"/>
      <c r="Z10" s="1142" t="s">
        <v>165</v>
      </c>
      <c r="AA10" s="1142" t="s">
        <v>166</v>
      </c>
      <c r="AB10" s="1142" t="s">
        <v>167</v>
      </c>
      <c r="AC10" s="1142" t="s">
        <v>168</v>
      </c>
      <c r="AD10" s="1142" t="s">
        <v>169</v>
      </c>
      <c r="AE10" s="1142" t="s">
        <v>170</v>
      </c>
      <c r="AF10" s="1142" t="s">
        <v>171</v>
      </c>
      <c r="AG10" s="1142" t="s">
        <v>172</v>
      </c>
      <c r="AH10" s="1142" t="s">
        <v>173</v>
      </c>
      <c r="AI10" s="1142" t="s">
        <v>174</v>
      </c>
      <c r="AJ10" s="1142" t="s">
        <v>175</v>
      </c>
      <c r="AK10" s="1142" t="s">
        <v>176</v>
      </c>
      <c r="AL10" s="1142" t="s">
        <v>177</v>
      </c>
      <c r="AM10" s="1142" t="s">
        <v>178</v>
      </c>
      <c r="AN10" s="1142" t="s">
        <v>179</v>
      </c>
      <c r="AO10" s="1142" t="s">
        <v>180</v>
      </c>
      <c r="AP10" s="1142" t="s">
        <v>181</v>
      </c>
      <c r="AQ10" s="1142" t="s">
        <v>182</v>
      </c>
    </row>
    <row r="11" spans="1:43" s="14378" customFormat="1" ht="12" hidden="1" customHeight="1">
      <c r="D11" s="1131" t="s">
        <v>147</v>
      </c>
      <c r="E11" s="1131" t="s">
        <v>102</v>
      </c>
      <c r="F11" s="1131"/>
      <c r="G11" s="1131" t="s">
        <v>89</v>
      </c>
      <c r="H11" s="16021" t="s">
        <v>117</v>
      </c>
      <c r="I11" s="16021"/>
      <c r="J11" s="1131" t="s">
        <v>91</v>
      </c>
      <c r="K11" s="1131" t="s">
        <v>92</v>
      </c>
      <c r="L11" s="16021" t="s">
        <v>132</v>
      </c>
      <c r="M11" s="16021"/>
      <c r="N11" s="1131" t="s">
        <v>136</v>
      </c>
      <c r="O11" s="1131" t="s">
        <v>128</v>
      </c>
      <c r="P11" s="16021" t="s">
        <v>138</v>
      </c>
      <c r="Q11" s="16021"/>
      <c r="R11" s="1131" t="s">
        <v>183</v>
      </c>
      <c r="S11" s="1131" t="s">
        <v>138</v>
      </c>
      <c r="T11" s="16021" t="s">
        <v>183</v>
      </c>
      <c r="U11" s="16021"/>
      <c r="V11" s="1131" t="s">
        <v>184</v>
      </c>
      <c r="W11" s="1131" t="s">
        <v>105</v>
      </c>
      <c r="Y11" s="1142"/>
      <c r="Z11" s="1142"/>
      <c r="AA11" s="1142"/>
      <c r="AB11" s="1142"/>
      <c r="AC11" s="1142"/>
      <c r="AD11" s="1142"/>
      <c r="AE11" s="1142"/>
      <c r="AF11" s="1142"/>
      <c r="AG11" s="1142"/>
      <c r="AH11" s="1142"/>
      <c r="AI11" s="1142"/>
      <c r="AJ11" s="1142"/>
      <c r="AK11" s="1142"/>
      <c r="AL11" s="1142"/>
      <c r="AM11" s="1142"/>
      <c r="AN11" s="1142"/>
      <c r="AO11" s="1142"/>
      <c r="AP11" s="1142"/>
      <c r="AQ11" s="1142"/>
    </row>
    <row r="12" spans="1:43" ht="14.25" hidden="1" customHeight="1">
      <c r="C12" s="131"/>
      <c r="D12" s="1164">
        <v>0</v>
      </c>
      <c r="E12" s="169"/>
      <c r="F12" s="169"/>
      <c r="G12" s="169"/>
      <c r="H12" s="170"/>
      <c r="I12" s="170"/>
      <c r="J12" s="82"/>
      <c r="K12" s="44"/>
      <c r="L12" s="82"/>
      <c r="M12" s="82"/>
      <c r="N12" s="171"/>
      <c r="O12" s="44"/>
      <c r="P12" s="82"/>
      <c r="Q12" s="82"/>
      <c r="R12" s="172"/>
      <c r="S12" s="201"/>
      <c r="T12" s="209"/>
      <c r="U12" s="209"/>
      <c r="V12" s="213"/>
      <c r="W12" s="44"/>
      <c r="X12" s="68"/>
    </row>
    <row r="13" spans="1:43" s="14379" customFormat="1" ht="17.25" hidden="1" customHeight="1">
      <c r="A13" s="238"/>
      <c r="C13" s="131"/>
      <c r="D13" s="16000">
        <v>1</v>
      </c>
      <c r="E13" s="16008" t="s">
        <v>185</v>
      </c>
      <c r="F13" s="16010" t="s">
        <v>56</v>
      </c>
      <c r="G13" s="16008"/>
      <c r="H13" s="16013"/>
      <c r="I13" s="16015"/>
      <c r="J13" s="16017"/>
      <c r="K13" s="16002"/>
      <c r="L13" s="16002"/>
      <c r="M13" s="16002"/>
      <c r="N13" s="16004"/>
      <c r="O13" s="16002"/>
      <c r="P13" s="16002"/>
      <c r="Q13" s="16002"/>
      <c r="R13" s="16007"/>
      <c r="S13" s="16002"/>
      <c r="T13" s="1296"/>
      <c r="U13" s="1296"/>
      <c r="V13" s="1295"/>
      <c r="W13" s="1176"/>
      <c r="Y13" s="1149"/>
      <c r="Z13" s="1149"/>
      <c r="AA13" s="1149"/>
      <c r="AB13" s="1149"/>
      <c r="AC13" s="1149" t="s">
        <v>186</v>
      </c>
      <c r="AD13" s="1149" t="s">
        <v>187</v>
      </c>
      <c r="AE13" s="1149" t="s">
        <v>188</v>
      </c>
      <c r="AF13" s="1149" t="s">
        <v>189</v>
      </c>
      <c r="AG13" s="1149" t="s">
        <v>190</v>
      </c>
      <c r="AH13" s="114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9" t="str">
        <f>IF($G$13=0,"",$G$13)</f>
        <v/>
      </c>
      <c r="AJ13" s="1149" t="str">
        <f>IF($J$13=0,"",$J$13)</f>
        <v/>
      </c>
      <c r="AK13" s="1149" t="str">
        <f>IF($K$13="нет","без дифференциации",IF($N$13=0,"",$N$13))</f>
        <v/>
      </c>
      <c r="AL13" s="1149" t="str">
        <f>IF($O$13="нет","без дифференциации",IF($R$13=0,"",$R$13))</f>
        <v/>
      </c>
      <c r="AM13" s="1149" t="str">
        <f>IF($S$13="нет","без дифференциации",IF($V$13=0,"",$V$13))</f>
        <v/>
      </c>
      <c r="AN13" s="1149">
        <f>$I$13</f>
        <v>0</v>
      </c>
      <c r="AO13" s="1149" t="str">
        <f>$I$13&amp;"."&amp;$M$13</f>
        <v>.</v>
      </c>
      <c r="AP13" s="1149" t="str">
        <f>$I$13&amp;"."&amp;$M$13&amp;"."&amp;$Q$13</f>
        <v>..</v>
      </c>
      <c r="AQ13" s="1149" t="str">
        <f>$I$13&amp;"."&amp;$M$13&amp;"."&amp;$Q$13&amp;"."&amp;$U$13</f>
        <v>...</v>
      </c>
    </row>
    <row r="14" spans="1:43" s="14379" customFormat="1" ht="17.25" hidden="1" customHeight="1">
      <c r="A14" s="238"/>
      <c r="C14" s="237"/>
      <c r="D14" s="16000"/>
      <c r="E14" s="16008"/>
      <c r="F14" s="16011"/>
      <c r="G14" s="16008"/>
      <c r="H14" s="16014"/>
      <c r="I14" s="16016"/>
      <c r="J14" s="16018"/>
      <c r="K14" s="16003"/>
      <c r="L14" s="16003"/>
      <c r="M14" s="16003"/>
      <c r="N14" s="16005"/>
      <c r="O14" s="16003"/>
      <c r="P14" s="16003"/>
      <c r="Q14" s="16003"/>
      <c r="R14" s="16006"/>
      <c r="S14" s="16003"/>
      <c r="T14" s="1177"/>
      <c r="U14" s="1177"/>
      <c r="V14" s="1177"/>
      <c r="W14" s="1178"/>
      <c r="Y14" s="1142"/>
      <c r="Z14" s="1142"/>
      <c r="AA14" s="1142"/>
      <c r="AB14" s="1142"/>
      <c r="AC14" s="1142"/>
      <c r="AD14" s="1142"/>
      <c r="AE14" s="1142"/>
      <c r="AF14" s="1142"/>
      <c r="AG14" s="1142"/>
      <c r="AH14" s="1142"/>
      <c r="AI14" s="1142"/>
      <c r="AJ14" s="1142"/>
      <c r="AK14" s="1142"/>
      <c r="AL14" s="1142"/>
      <c r="AM14" s="1142"/>
      <c r="AN14" s="1142"/>
      <c r="AO14" s="1142"/>
      <c r="AP14" s="1142"/>
      <c r="AQ14" s="1142"/>
    </row>
    <row r="15" spans="1:43" s="14380" customFormat="1" ht="17.25" hidden="1" customHeight="1">
      <c r="A15" s="238"/>
      <c r="C15" s="131"/>
      <c r="D15" s="16000"/>
      <c r="E15" s="16008"/>
      <c r="F15" s="16011"/>
      <c r="G15" s="16008"/>
      <c r="H15" s="16014"/>
      <c r="I15" s="16016"/>
      <c r="J15" s="16019"/>
      <c r="K15" s="16003"/>
      <c r="L15" s="16003"/>
      <c r="M15" s="16003"/>
      <c r="N15" s="16006"/>
      <c r="O15" s="16003"/>
      <c r="P15" s="1294"/>
      <c r="Q15" s="1177"/>
      <c r="R15" s="1177"/>
      <c r="S15" s="246"/>
      <c r="T15" s="246"/>
      <c r="U15" s="246"/>
      <c r="V15" s="246"/>
      <c r="W15" s="1178"/>
      <c r="Y15" s="1149"/>
      <c r="Z15" s="1149"/>
      <c r="AA15" s="1149"/>
      <c r="AB15" s="1149"/>
      <c r="AC15" s="1149"/>
      <c r="AD15" s="1149"/>
      <c r="AE15" s="1149"/>
      <c r="AF15" s="1149"/>
      <c r="AG15" s="1149"/>
      <c r="AH15" s="1149"/>
      <c r="AI15" s="1149"/>
      <c r="AJ15" s="1149"/>
      <c r="AK15" s="1149"/>
      <c r="AL15" s="1149"/>
      <c r="AM15" s="1149"/>
      <c r="AN15" s="1149"/>
      <c r="AO15" s="1149"/>
      <c r="AP15" s="1149"/>
      <c r="AQ15" s="1149"/>
    </row>
    <row r="16" spans="1:43" s="14380" customFormat="1" ht="17.25" hidden="1" customHeight="1">
      <c r="A16" s="238"/>
      <c r="C16" s="237"/>
      <c r="D16" s="16000"/>
      <c r="E16" s="16008"/>
      <c r="F16" s="16011"/>
      <c r="G16" s="16008"/>
      <c r="H16" s="16014"/>
      <c r="I16" s="16016"/>
      <c r="J16" s="16019"/>
      <c r="K16" s="16003"/>
      <c r="L16" s="1177"/>
      <c r="M16" s="1177"/>
      <c r="N16" s="1177"/>
      <c r="O16" s="1177"/>
      <c r="P16" s="1177"/>
      <c r="Q16" s="1177"/>
      <c r="R16" s="1177"/>
      <c r="S16" s="246"/>
      <c r="T16" s="246"/>
      <c r="U16" s="246"/>
      <c r="V16" s="246"/>
      <c r="W16" s="1178"/>
      <c r="Y16" s="1142"/>
      <c r="Z16" s="1142"/>
      <c r="AA16" s="1142"/>
      <c r="AB16" s="1142"/>
      <c r="AC16" s="1142"/>
      <c r="AD16" s="1142"/>
      <c r="AE16" s="1142"/>
      <c r="AF16" s="1142"/>
      <c r="AG16" s="1142"/>
      <c r="AH16" s="1142"/>
      <c r="AI16" s="1142"/>
      <c r="AJ16" s="1142"/>
      <c r="AK16" s="1142"/>
      <c r="AL16" s="1142"/>
      <c r="AM16" s="1142"/>
      <c r="AN16" s="1142"/>
      <c r="AO16" s="1142"/>
      <c r="AP16" s="1142"/>
      <c r="AQ16" s="1142"/>
    </row>
    <row r="17" spans="1:43" s="14379" customFormat="1" ht="17.25" hidden="1" customHeight="1">
      <c r="A17" s="238"/>
      <c r="C17" s="237"/>
      <c r="D17" s="16001"/>
      <c r="E17" s="16009"/>
      <c r="F17" s="16012"/>
      <c r="G17" s="16009"/>
      <c r="H17" s="1179"/>
      <c r="I17" s="1180"/>
      <c r="J17" s="1180"/>
      <c r="K17" s="1180"/>
      <c r="L17" s="1180"/>
      <c r="M17" s="1180"/>
      <c r="N17" s="1180"/>
      <c r="O17" s="1180"/>
      <c r="P17" s="1180"/>
      <c r="Q17" s="1180"/>
      <c r="R17" s="1180"/>
      <c r="S17" s="1181"/>
      <c r="T17" s="1181"/>
      <c r="U17" s="1181"/>
      <c r="V17" s="1181"/>
      <c r="W17" s="1182"/>
      <c r="Y17" s="1142"/>
      <c r="Z17" s="1142"/>
      <c r="AA17" s="1142"/>
      <c r="AB17" s="1142"/>
      <c r="AC17" s="1142"/>
      <c r="AD17" s="1142"/>
      <c r="AE17" s="1142"/>
      <c r="AF17" s="1142"/>
      <c r="AG17" s="1142"/>
      <c r="AH17" s="1142"/>
      <c r="AI17" s="1142"/>
      <c r="AJ17" s="1142"/>
      <c r="AK17" s="1142"/>
      <c r="AL17" s="1142"/>
      <c r="AM17" s="1142"/>
      <c r="AN17" s="1142"/>
      <c r="AO17" s="1142"/>
      <c r="AP17" s="1142"/>
      <c r="AQ17" s="1142"/>
    </row>
    <row r="18" spans="1:43" s="14381" customFormat="1" ht="17.25" hidden="1" customHeight="1">
      <c r="A18" s="238"/>
      <c r="C18" s="131"/>
      <c r="D18" s="16000">
        <v>2</v>
      </c>
      <c r="E18" s="16008" t="s">
        <v>191</v>
      </c>
      <c r="F18" s="16010" t="s">
        <v>56</v>
      </c>
      <c r="G18" s="16008"/>
      <c r="H18" s="16013"/>
      <c r="I18" s="16015"/>
      <c r="J18" s="16017"/>
      <c r="K18" s="16002"/>
      <c r="L18" s="16002"/>
      <c r="M18" s="16002"/>
      <c r="N18" s="16004"/>
      <c r="O18" s="16002"/>
      <c r="P18" s="16002"/>
      <c r="Q18" s="16002"/>
      <c r="R18" s="16007"/>
      <c r="S18" s="16002"/>
      <c r="T18" s="1296"/>
      <c r="U18" s="1296"/>
      <c r="V18" s="1295"/>
      <c r="W18" s="1176"/>
      <c r="X18" s="1149"/>
      <c r="Y18" s="1149"/>
      <c r="Z18" s="1149"/>
      <c r="AA18" s="1149"/>
      <c r="AB18" s="1149"/>
      <c r="AC18" s="1149" t="s">
        <v>192</v>
      </c>
      <c r="AD18" s="1149" t="s">
        <v>193</v>
      </c>
      <c r="AE18" s="1149" t="s">
        <v>194</v>
      </c>
      <c r="AF18" s="1149" t="s">
        <v>195</v>
      </c>
      <c r="AG18" s="1149" t="s">
        <v>196</v>
      </c>
      <c r="AH18" s="1149"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9" t="str">
        <f>IF($G$18=0,"",$G$18)</f>
        <v/>
      </c>
      <c r="AJ18" s="1149" t="str">
        <f>IF($J$18=0,"",$J$18)</f>
        <v/>
      </c>
      <c r="AK18" s="1149" t="str">
        <f>IF($K$18="нет","без дифференциации",IF($N$18=0,"",$N$18))</f>
        <v/>
      </c>
      <c r="AL18" s="1149" t="str">
        <f>IF($O$18="нет","без дифференциации",IF($R$18=0,"",$R$18))</f>
        <v/>
      </c>
      <c r="AM18" s="1149" t="str">
        <f>IF($S$18="нет","без дифференциации",IF($V$18=0,"",$V$18))</f>
        <v/>
      </c>
      <c r="AN18" s="1634">
        <f>$I$18</f>
        <v>0</v>
      </c>
      <c r="AO18" s="1149" t="str">
        <f>$I$18&amp;"."&amp;$M$18</f>
        <v>.</v>
      </c>
      <c r="AP18" s="1142" t="str">
        <f>$I$18&amp;"."&amp;$M$18&amp;"."&amp;$Q$18</f>
        <v>..</v>
      </c>
      <c r="AQ18" s="1142" t="str">
        <f>$I$18&amp;"."&amp;$M$18&amp;"."&amp;$Q$18&amp;"."&amp;$U$18</f>
        <v>...</v>
      </c>
    </row>
    <row r="19" spans="1:43" s="14381" customFormat="1" ht="17.25" hidden="1" customHeight="1">
      <c r="A19" s="238"/>
      <c r="C19" s="237"/>
      <c r="D19" s="16000"/>
      <c r="E19" s="16008"/>
      <c r="F19" s="16011"/>
      <c r="G19" s="16008"/>
      <c r="H19" s="16014"/>
      <c r="I19" s="16016"/>
      <c r="J19" s="16018"/>
      <c r="K19" s="16003"/>
      <c r="L19" s="16003"/>
      <c r="M19" s="16003"/>
      <c r="N19" s="16005"/>
      <c r="O19" s="16003"/>
      <c r="P19" s="16003"/>
      <c r="Q19" s="16003"/>
      <c r="R19" s="16006"/>
      <c r="S19" s="16003"/>
      <c r="T19" s="1177"/>
      <c r="U19" s="1177"/>
      <c r="V19" s="1177"/>
      <c r="W19" s="1178"/>
      <c r="X19" s="1142"/>
      <c r="Y19" s="1142"/>
      <c r="Z19" s="1142"/>
      <c r="AA19" s="1142"/>
      <c r="AB19" s="1142"/>
      <c r="AC19" s="1142"/>
      <c r="AD19" s="1142"/>
      <c r="AE19" s="1142"/>
      <c r="AF19" s="1142"/>
      <c r="AG19" s="1142"/>
      <c r="AH19" s="1142"/>
      <c r="AI19" s="1142"/>
      <c r="AJ19" s="1142"/>
      <c r="AK19" s="1142"/>
      <c r="AL19" s="1142"/>
      <c r="AM19" s="1142"/>
      <c r="AN19" s="1142"/>
      <c r="AO19" s="1142"/>
      <c r="AP19" s="1142"/>
      <c r="AQ19" s="1142"/>
    </row>
    <row r="20" spans="1:43" s="14381" customFormat="1" ht="17.25" hidden="1" customHeight="1">
      <c r="A20" s="238"/>
      <c r="C20" s="237"/>
      <c r="D20" s="16001"/>
      <c r="E20" s="16009"/>
      <c r="F20" s="16011"/>
      <c r="G20" s="16009"/>
      <c r="H20" s="16014"/>
      <c r="I20" s="16016"/>
      <c r="J20" s="16019"/>
      <c r="K20" s="16003"/>
      <c r="L20" s="16003"/>
      <c r="M20" s="16003"/>
      <c r="N20" s="16006"/>
      <c r="O20" s="16003"/>
      <c r="P20" s="1294"/>
      <c r="Q20" s="1177"/>
      <c r="R20" s="1177"/>
      <c r="S20" s="246"/>
      <c r="T20" s="246"/>
      <c r="U20" s="246"/>
      <c r="V20" s="246"/>
      <c r="W20" s="1178"/>
      <c r="X20" s="1142"/>
      <c r="Y20" s="1142"/>
      <c r="Z20" s="1142"/>
      <c r="AA20" s="1142"/>
      <c r="AB20" s="1142"/>
      <c r="AC20" s="1142"/>
      <c r="AD20" s="1142"/>
      <c r="AE20" s="1142"/>
      <c r="AF20" s="1142"/>
      <c r="AG20" s="1142"/>
      <c r="AH20" s="1142"/>
      <c r="AI20" s="1142"/>
      <c r="AJ20" s="1142"/>
      <c r="AK20" s="1142"/>
      <c r="AL20" s="1142"/>
      <c r="AM20" s="1142"/>
      <c r="AN20" s="1142"/>
      <c r="AO20" s="1142"/>
      <c r="AP20" s="1142"/>
      <c r="AQ20" s="1142"/>
    </row>
    <row r="21" spans="1:43" s="14381" customFormat="1" ht="17.25" hidden="1" customHeight="1">
      <c r="A21" s="238"/>
      <c r="C21" s="237"/>
      <c r="D21" s="16001"/>
      <c r="E21" s="16009"/>
      <c r="F21" s="16011"/>
      <c r="G21" s="16009"/>
      <c r="H21" s="16014"/>
      <c r="I21" s="16016"/>
      <c r="J21" s="16019"/>
      <c r="K21" s="16003"/>
      <c r="L21" s="1177"/>
      <c r="M21" s="1177"/>
      <c r="N21" s="1177"/>
      <c r="O21" s="1177"/>
      <c r="P21" s="1177"/>
      <c r="Q21" s="1177"/>
      <c r="R21" s="1177"/>
      <c r="S21" s="246"/>
      <c r="T21" s="246"/>
      <c r="U21" s="246"/>
      <c r="V21" s="246"/>
      <c r="W21" s="1178"/>
      <c r="X21" s="1142"/>
      <c r="Y21" s="1142"/>
      <c r="Z21" s="1142"/>
      <c r="AA21" s="1142"/>
      <c r="AB21" s="1142"/>
      <c r="AC21" s="1142"/>
      <c r="AD21" s="1142"/>
      <c r="AE21" s="1142"/>
      <c r="AF21" s="1142"/>
      <c r="AG21" s="1142"/>
      <c r="AH21" s="1142"/>
      <c r="AI21" s="1142"/>
      <c r="AJ21" s="1142"/>
      <c r="AK21" s="1142"/>
      <c r="AL21" s="1142"/>
      <c r="AM21" s="1142"/>
      <c r="AN21" s="1142"/>
      <c r="AO21" s="1142"/>
      <c r="AP21" s="1142"/>
      <c r="AQ21" s="1142"/>
    </row>
    <row r="22" spans="1:43" s="14381" customFormat="1" ht="17.25" hidden="1" customHeight="1">
      <c r="A22" s="238"/>
      <c r="C22" s="237"/>
      <c r="D22" s="16001"/>
      <c r="E22" s="16009"/>
      <c r="F22" s="16012"/>
      <c r="G22" s="16009"/>
      <c r="H22" s="1179"/>
      <c r="I22" s="1180"/>
      <c r="J22" s="1180"/>
      <c r="K22" s="1180"/>
      <c r="L22" s="1180"/>
      <c r="M22" s="1180"/>
      <c r="N22" s="1180"/>
      <c r="O22" s="1180"/>
      <c r="P22" s="1180"/>
      <c r="Q22" s="1180"/>
      <c r="R22" s="1180"/>
      <c r="S22" s="1181"/>
      <c r="T22" s="1181"/>
      <c r="U22" s="1181"/>
      <c r="V22" s="1181"/>
      <c r="W22" s="1182"/>
      <c r="X22" s="1142"/>
      <c r="Y22" s="1142"/>
      <c r="Z22" s="1142"/>
      <c r="AA22" s="1142"/>
      <c r="AB22" s="1142"/>
      <c r="AC22" s="1142"/>
      <c r="AD22" s="1142"/>
      <c r="AE22" s="1142"/>
      <c r="AF22" s="1142"/>
      <c r="AG22" s="1142"/>
      <c r="AH22" s="1142"/>
      <c r="AI22" s="1142"/>
      <c r="AJ22" s="1142"/>
      <c r="AK22" s="1142"/>
      <c r="AL22" s="1142"/>
      <c r="AM22" s="1142"/>
      <c r="AN22" s="1142"/>
      <c r="AO22" s="1142"/>
      <c r="AP22" s="1142"/>
      <c r="AQ22" s="1142"/>
    </row>
    <row r="23" spans="1:43" s="14381" customFormat="1" ht="17.25" hidden="1" customHeight="1">
      <c r="A23" s="238"/>
      <c r="C23" s="131"/>
      <c r="D23" s="16000">
        <v>3</v>
      </c>
      <c r="E23" s="16008" t="s">
        <v>197</v>
      </c>
      <c r="F23" s="16010" t="s">
        <v>56</v>
      </c>
      <c r="G23" s="16008"/>
      <c r="H23" s="16013"/>
      <c r="I23" s="16015"/>
      <c r="J23" s="16017"/>
      <c r="K23" s="16002"/>
      <c r="L23" s="16002"/>
      <c r="M23" s="16002"/>
      <c r="N23" s="16004"/>
      <c r="O23" s="16002"/>
      <c r="P23" s="16002"/>
      <c r="Q23" s="16002"/>
      <c r="R23" s="16007"/>
      <c r="S23" s="16002"/>
      <c r="T23" s="1296"/>
      <c r="U23" s="1296"/>
      <c r="V23" s="1295"/>
      <c r="W23" s="1176"/>
      <c r="X23" s="1149"/>
      <c r="Y23" s="1149"/>
      <c r="Z23" s="1149"/>
      <c r="AA23" s="1149"/>
      <c r="AB23" s="1149"/>
      <c r="AC23" s="1149" t="s">
        <v>198</v>
      </c>
      <c r="AD23" s="1149" t="s">
        <v>199</v>
      </c>
      <c r="AE23" s="1149" t="s">
        <v>200</v>
      </c>
      <c r="AF23" s="1149" t="s">
        <v>201</v>
      </c>
      <c r="AG23" s="1149" t="s">
        <v>202</v>
      </c>
      <c r="AH23" s="1149" t="str">
        <f>IF($E$23=0,"",$E$23)</f>
        <v>Тарифы на теплоноситель, поставляемый теплоснабжающими организациями потребителям, другим теплоснабжающим организациям</v>
      </c>
      <c r="AI23" s="1149" t="str">
        <f>IF($G$23=0,"",$G$23)</f>
        <v/>
      </c>
      <c r="AJ23" s="1149" t="str">
        <f>IF($J$23=0,"",$J$23)</f>
        <v/>
      </c>
      <c r="AK23" s="1149" t="str">
        <f>IF($K$23="нет","без дифференциации",IF($N$23=0,"",$N$23))</f>
        <v/>
      </c>
      <c r="AL23" s="1149" t="str">
        <f>IF($O$23="нет","без дифференциации",IF($R$23=0,"",$R$23))</f>
        <v/>
      </c>
      <c r="AM23" s="1149" t="str">
        <f>IF($S$23="нет","без дифференциации",IF($V$23=0,"",$V$23))</f>
        <v/>
      </c>
      <c r="AN23" s="1634">
        <f>$I$23</f>
        <v>0</v>
      </c>
      <c r="AO23" s="1149" t="str">
        <f>$I$23&amp;"."&amp;$M$23</f>
        <v>.</v>
      </c>
      <c r="AP23" s="1142" t="str">
        <f>$I$23&amp;"."&amp;$M$23&amp;"."&amp;$Q$23</f>
        <v>..</v>
      </c>
      <c r="AQ23" s="1142" t="str">
        <f>$I$23&amp;"."&amp;$M$23&amp;"."&amp;$Q$23&amp;"."&amp;$U$23</f>
        <v>...</v>
      </c>
    </row>
    <row r="24" spans="1:43" s="14381" customFormat="1" ht="17.25" hidden="1" customHeight="1">
      <c r="A24" s="238"/>
      <c r="C24" s="237"/>
      <c r="D24" s="16000"/>
      <c r="E24" s="16008"/>
      <c r="F24" s="16011"/>
      <c r="G24" s="16008"/>
      <c r="H24" s="16014"/>
      <c r="I24" s="16016"/>
      <c r="J24" s="16018"/>
      <c r="K24" s="16003"/>
      <c r="L24" s="16003"/>
      <c r="M24" s="16003"/>
      <c r="N24" s="16005"/>
      <c r="O24" s="16003"/>
      <c r="P24" s="16003"/>
      <c r="Q24" s="16003"/>
      <c r="R24" s="16006"/>
      <c r="S24" s="16003"/>
      <c r="T24" s="1177"/>
      <c r="U24" s="1177"/>
      <c r="V24" s="1177"/>
      <c r="W24" s="1178"/>
      <c r="X24" s="1142"/>
      <c r="Y24" s="1142"/>
      <c r="Z24" s="1142"/>
      <c r="AA24" s="1142"/>
      <c r="AB24" s="1142"/>
      <c r="AC24" s="1142"/>
      <c r="AD24" s="1142"/>
      <c r="AE24" s="1142"/>
      <c r="AF24" s="1142"/>
      <c r="AG24" s="1142"/>
      <c r="AH24" s="1142"/>
      <c r="AI24" s="1142"/>
      <c r="AJ24" s="1142"/>
      <c r="AK24" s="1142"/>
      <c r="AL24" s="1142"/>
      <c r="AM24" s="1142"/>
      <c r="AN24" s="1142"/>
      <c r="AO24" s="1142"/>
      <c r="AP24" s="1142"/>
      <c r="AQ24" s="1142"/>
    </row>
    <row r="25" spans="1:43" s="14381" customFormat="1" ht="17.25" hidden="1" customHeight="1">
      <c r="A25" s="238"/>
      <c r="C25" s="237"/>
      <c r="D25" s="16001"/>
      <c r="E25" s="16009"/>
      <c r="F25" s="16011"/>
      <c r="G25" s="16009"/>
      <c r="H25" s="16014"/>
      <c r="I25" s="16016"/>
      <c r="J25" s="16019"/>
      <c r="K25" s="16003"/>
      <c r="L25" s="16003"/>
      <c r="M25" s="16003"/>
      <c r="N25" s="16006"/>
      <c r="O25" s="16003"/>
      <c r="P25" s="1294"/>
      <c r="Q25" s="1177"/>
      <c r="R25" s="1177"/>
      <c r="S25" s="246"/>
      <c r="T25" s="246"/>
      <c r="U25" s="246"/>
      <c r="V25" s="246"/>
      <c r="W25" s="1178"/>
      <c r="X25" s="1142"/>
      <c r="Y25" s="1142"/>
      <c r="Z25" s="1142"/>
      <c r="AA25" s="1142"/>
      <c r="AB25" s="1142"/>
      <c r="AC25" s="1142"/>
      <c r="AD25" s="1142"/>
      <c r="AE25" s="1142"/>
      <c r="AF25" s="1142"/>
      <c r="AG25" s="1142"/>
      <c r="AH25" s="1142"/>
      <c r="AI25" s="1142"/>
      <c r="AJ25" s="1142"/>
      <c r="AK25" s="1142"/>
      <c r="AL25" s="1142"/>
      <c r="AM25" s="1142"/>
      <c r="AN25" s="1142"/>
      <c r="AO25" s="1142"/>
      <c r="AP25" s="1142"/>
      <c r="AQ25" s="1142"/>
    </row>
    <row r="26" spans="1:43" s="14381" customFormat="1" ht="17.25" hidden="1" customHeight="1">
      <c r="A26" s="238"/>
      <c r="C26" s="237"/>
      <c r="D26" s="16001"/>
      <c r="E26" s="16009"/>
      <c r="F26" s="16011"/>
      <c r="G26" s="16009"/>
      <c r="H26" s="16014"/>
      <c r="I26" s="16016"/>
      <c r="J26" s="16019"/>
      <c r="K26" s="16003"/>
      <c r="L26" s="1177"/>
      <c r="M26" s="1177"/>
      <c r="N26" s="1177"/>
      <c r="O26" s="1177"/>
      <c r="P26" s="1177"/>
      <c r="Q26" s="1177"/>
      <c r="R26" s="1177"/>
      <c r="S26" s="246"/>
      <c r="T26" s="246"/>
      <c r="U26" s="246"/>
      <c r="V26" s="246"/>
      <c r="W26" s="1178"/>
      <c r="X26" s="1142"/>
      <c r="Y26" s="1142"/>
      <c r="Z26" s="1142"/>
      <c r="AA26" s="1142"/>
      <c r="AB26" s="1142"/>
      <c r="AC26" s="1142"/>
      <c r="AD26" s="1142"/>
      <c r="AE26" s="1142"/>
      <c r="AF26" s="1142"/>
      <c r="AG26" s="1142"/>
      <c r="AH26" s="1142"/>
      <c r="AI26" s="1142"/>
      <c r="AJ26" s="1142"/>
      <c r="AK26" s="1142"/>
      <c r="AL26" s="1142"/>
      <c r="AM26" s="1142"/>
      <c r="AN26" s="1142"/>
      <c r="AO26" s="1142"/>
      <c r="AP26" s="1142"/>
      <c r="AQ26" s="1142"/>
    </row>
    <row r="27" spans="1:43" s="14381" customFormat="1" ht="17.25" hidden="1" customHeight="1">
      <c r="A27" s="238"/>
      <c r="C27" s="237"/>
      <c r="D27" s="16001"/>
      <c r="E27" s="16009"/>
      <c r="F27" s="16012"/>
      <c r="G27" s="16009"/>
      <c r="H27" s="1179"/>
      <c r="I27" s="1180"/>
      <c r="J27" s="1180"/>
      <c r="K27" s="1180"/>
      <c r="L27" s="1180"/>
      <c r="M27" s="1180"/>
      <c r="N27" s="1180"/>
      <c r="O27" s="1180"/>
      <c r="P27" s="1180"/>
      <c r="Q27" s="1180"/>
      <c r="R27" s="1180"/>
      <c r="S27" s="1181"/>
      <c r="T27" s="1181"/>
      <c r="U27" s="1181"/>
      <c r="V27" s="1181"/>
      <c r="W27" s="1182"/>
      <c r="X27" s="1142"/>
      <c r="Y27" s="1142"/>
      <c r="Z27" s="1142"/>
      <c r="AA27" s="1142"/>
      <c r="AB27" s="1142"/>
      <c r="AC27" s="1142"/>
      <c r="AD27" s="1142"/>
      <c r="AE27" s="1142"/>
      <c r="AF27" s="1142"/>
      <c r="AG27" s="1142"/>
      <c r="AH27" s="1142"/>
      <c r="AI27" s="1142"/>
      <c r="AJ27" s="1142"/>
      <c r="AK27" s="1142"/>
      <c r="AL27" s="1142"/>
      <c r="AM27" s="1142"/>
      <c r="AN27" s="1142"/>
      <c r="AO27" s="1142"/>
      <c r="AP27" s="1142"/>
      <c r="AQ27" s="1142"/>
    </row>
    <row r="28" spans="1:43" s="14381" customFormat="1" ht="17.25" hidden="1" customHeight="1">
      <c r="A28" s="238"/>
      <c r="C28" s="131"/>
      <c r="D28" s="16000">
        <v>4</v>
      </c>
      <c r="E28" s="16008" t="s">
        <v>203</v>
      </c>
      <c r="F28" s="16010" t="s">
        <v>56</v>
      </c>
      <c r="G28" s="16008"/>
      <c r="H28" s="16013"/>
      <c r="I28" s="16015"/>
      <c r="J28" s="16017"/>
      <c r="K28" s="16002"/>
      <c r="L28" s="16002"/>
      <c r="M28" s="16002"/>
      <c r="N28" s="16004"/>
      <c r="O28" s="16002"/>
      <c r="P28" s="16002"/>
      <c r="Q28" s="16002"/>
      <c r="R28" s="16007"/>
      <c r="S28" s="16002"/>
      <c r="T28" s="1296"/>
      <c r="U28" s="1296"/>
      <c r="V28" s="1295"/>
      <c r="W28" s="1176"/>
      <c r="X28" s="1149"/>
      <c r="Y28" s="1149"/>
      <c r="Z28" s="1149"/>
      <c r="AA28" s="1149"/>
      <c r="AB28" s="1149"/>
      <c r="AC28" s="1149" t="s">
        <v>204</v>
      </c>
      <c r="AD28" s="1149" t="s">
        <v>205</v>
      </c>
      <c r="AE28" s="1149" t="s">
        <v>206</v>
      </c>
      <c r="AF28" s="1149" t="s">
        <v>207</v>
      </c>
      <c r="AG28" s="1149" t="s">
        <v>208</v>
      </c>
      <c r="AH28" s="114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9" t="str">
        <f>IF($G$28=0,"",$G$28)</f>
        <v/>
      </c>
      <c r="AJ28" s="1149" t="str">
        <f>IF($J$28=0,"",$J$28)</f>
        <v/>
      </c>
      <c r="AK28" s="1149" t="str">
        <f>IF($K$28="нет","без дифференциации",IF($N$28=0,"",$N$28))</f>
        <v/>
      </c>
      <c r="AL28" s="1149" t="str">
        <f>IF($O$28="нет","без дифференциации",IF($R$28=0,"",$R$28))</f>
        <v/>
      </c>
      <c r="AM28" s="1149" t="str">
        <f>IF($S$28="нет","без дифференциации",IF($V$28=0,"",$V$28))</f>
        <v/>
      </c>
      <c r="AN28" s="1634">
        <f>$I$28</f>
        <v>0</v>
      </c>
      <c r="AO28" s="1149" t="str">
        <f>$I$28&amp;"."&amp;$M$28</f>
        <v>.</v>
      </c>
      <c r="AP28" s="1142" t="str">
        <f>$I$28&amp;"."&amp;$M$28&amp;"."&amp;$Q$28</f>
        <v>..</v>
      </c>
      <c r="AQ28" s="1142" t="str">
        <f>$I$28&amp;"."&amp;$M$28&amp;"."&amp;$Q$28&amp;"."&amp;$U$28</f>
        <v>...</v>
      </c>
    </row>
    <row r="29" spans="1:43" s="14381" customFormat="1" ht="17.25" hidden="1" customHeight="1">
      <c r="A29" s="238"/>
      <c r="C29" s="237"/>
      <c r="D29" s="16000"/>
      <c r="E29" s="16008"/>
      <c r="F29" s="16011"/>
      <c r="G29" s="16008"/>
      <c r="H29" s="16014"/>
      <c r="I29" s="16016"/>
      <c r="J29" s="16018"/>
      <c r="K29" s="16003"/>
      <c r="L29" s="16003"/>
      <c r="M29" s="16003"/>
      <c r="N29" s="16005"/>
      <c r="O29" s="16003"/>
      <c r="P29" s="16003"/>
      <c r="Q29" s="16003"/>
      <c r="R29" s="16006"/>
      <c r="S29" s="16003"/>
      <c r="T29" s="1177"/>
      <c r="U29" s="1177"/>
      <c r="V29" s="1177"/>
      <c r="W29" s="1178"/>
      <c r="X29" s="1142"/>
      <c r="Y29" s="1142"/>
      <c r="Z29" s="1142"/>
      <c r="AA29" s="1142"/>
      <c r="AB29" s="1142"/>
      <c r="AC29" s="1142"/>
      <c r="AD29" s="1142"/>
      <c r="AE29" s="1142"/>
      <c r="AF29" s="1142"/>
      <c r="AG29" s="1142"/>
      <c r="AH29" s="1142"/>
      <c r="AI29" s="1142"/>
      <c r="AJ29" s="1142"/>
      <c r="AK29" s="1142"/>
      <c r="AL29" s="1142"/>
      <c r="AM29" s="1142"/>
      <c r="AN29" s="1142"/>
      <c r="AO29" s="1142"/>
      <c r="AP29" s="1142"/>
      <c r="AQ29" s="1142"/>
    </row>
    <row r="30" spans="1:43" s="14381" customFormat="1" ht="17.25" hidden="1" customHeight="1">
      <c r="A30" s="238"/>
      <c r="C30" s="237"/>
      <c r="D30" s="16001"/>
      <c r="E30" s="16009"/>
      <c r="F30" s="16011"/>
      <c r="G30" s="16009"/>
      <c r="H30" s="16014"/>
      <c r="I30" s="16016"/>
      <c r="J30" s="16019"/>
      <c r="K30" s="16003"/>
      <c r="L30" s="16003"/>
      <c r="M30" s="16003"/>
      <c r="N30" s="16006"/>
      <c r="O30" s="16003"/>
      <c r="P30" s="1294"/>
      <c r="Q30" s="1177"/>
      <c r="R30" s="1177"/>
      <c r="S30" s="246"/>
      <c r="T30" s="246"/>
      <c r="U30" s="246"/>
      <c r="V30" s="246"/>
      <c r="W30" s="1178"/>
      <c r="X30" s="1142"/>
      <c r="Y30" s="1142"/>
      <c r="Z30" s="1142"/>
      <c r="AA30" s="1142"/>
      <c r="AB30" s="1142"/>
      <c r="AC30" s="1142"/>
      <c r="AD30" s="1142"/>
      <c r="AE30" s="1142"/>
      <c r="AF30" s="1142"/>
      <c r="AG30" s="1142"/>
      <c r="AH30" s="1142"/>
      <c r="AI30" s="1142"/>
      <c r="AJ30" s="1142"/>
      <c r="AK30" s="1142"/>
      <c r="AL30" s="1142"/>
      <c r="AM30" s="1142"/>
      <c r="AN30" s="1142"/>
      <c r="AO30" s="1142"/>
      <c r="AP30" s="1142"/>
      <c r="AQ30" s="1142"/>
    </row>
    <row r="31" spans="1:43" s="14381" customFormat="1" ht="17.25" hidden="1" customHeight="1">
      <c r="A31" s="238"/>
      <c r="C31" s="237"/>
      <c r="D31" s="16001"/>
      <c r="E31" s="16009"/>
      <c r="F31" s="16011"/>
      <c r="G31" s="16009"/>
      <c r="H31" s="16014"/>
      <c r="I31" s="16016"/>
      <c r="J31" s="16019"/>
      <c r="K31" s="16003"/>
      <c r="L31" s="1177"/>
      <c r="M31" s="1177"/>
      <c r="N31" s="1177"/>
      <c r="O31" s="1177"/>
      <c r="P31" s="1177"/>
      <c r="Q31" s="1177"/>
      <c r="R31" s="1177"/>
      <c r="S31" s="246"/>
      <c r="T31" s="246"/>
      <c r="U31" s="246"/>
      <c r="V31" s="246"/>
      <c r="W31" s="1178"/>
      <c r="X31" s="1142"/>
      <c r="Y31" s="1142"/>
      <c r="Z31" s="1142"/>
      <c r="AA31" s="1142"/>
      <c r="AB31" s="1142"/>
      <c r="AC31" s="1142"/>
      <c r="AD31" s="1142"/>
      <c r="AE31" s="1142"/>
      <c r="AF31" s="1142"/>
      <c r="AG31" s="1142"/>
      <c r="AH31" s="1142"/>
      <c r="AI31" s="1142"/>
      <c r="AJ31" s="1142"/>
      <c r="AK31" s="1142"/>
      <c r="AL31" s="1142"/>
      <c r="AM31" s="1142"/>
      <c r="AN31" s="1142"/>
      <c r="AO31" s="1142"/>
      <c r="AP31" s="1142"/>
      <c r="AQ31" s="1142"/>
    </row>
    <row r="32" spans="1:43" s="14381" customFormat="1" ht="17.25" hidden="1" customHeight="1">
      <c r="A32" s="238"/>
      <c r="C32" s="237"/>
      <c r="D32" s="16001"/>
      <c r="E32" s="16009"/>
      <c r="F32" s="16012"/>
      <c r="G32" s="16009"/>
      <c r="H32" s="1179"/>
      <c r="I32" s="1180"/>
      <c r="J32" s="1180"/>
      <c r="K32" s="1180"/>
      <c r="L32" s="1180"/>
      <c r="M32" s="1180"/>
      <c r="N32" s="1180"/>
      <c r="O32" s="1180"/>
      <c r="P32" s="1180"/>
      <c r="Q32" s="1180"/>
      <c r="R32" s="1180"/>
      <c r="S32" s="1181"/>
      <c r="T32" s="1181"/>
      <c r="U32" s="1181"/>
      <c r="V32" s="1181"/>
      <c r="W32" s="1182"/>
      <c r="X32" s="1142"/>
      <c r="Y32" s="1142"/>
      <c r="Z32" s="1142"/>
      <c r="AA32" s="1142"/>
      <c r="AB32" s="1142"/>
      <c r="AC32" s="1142"/>
      <c r="AD32" s="1142"/>
      <c r="AE32" s="1142"/>
      <c r="AF32" s="1142"/>
      <c r="AG32" s="1142"/>
      <c r="AH32" s="1142"/>
      <c r="AI32" s="1142"/>
      <c r="AJ32" s="1142"/>
      <c r="AK32" s="1142"/>
      <c r="AL32" s="1142"/>
      <c r="AM32" s="1142"/>
      <c r="AN32" s="1142"/>
      <c r="AO32" s="1142"/>
      <c r="AP32" s="1142"/>
      <c r="AQ32" s="1142"/>
    </row>
    <row r="33" spans="1:43" s="14381" customFormat="1" ht="17.25" hidden="1" customHeight="1">
      <c r="A33" s="238"/>
      <c r="C33" s="131"/>
      <c r="D33" s="16000">
        <v>5</v>
      </c>
      <c r="E33" s="16008" t="s">
        <v>209</v>
      </c>
      <c r="F33" s="16010" t="s">
        <v>56</v>
      </c>
      <c r="G33" s="16008"/>
      <c r="H33" s="16013"/>
      <c r="I33" s="16015"/>
      <c r="J33" s="16017"/>
      <c r="K33" s="16002"/>
      <c r="L33" s="16002"/>
      <c r="M33" s="16002"/>
      <c r="N33" s="16004"/>
      <c r="O33" s="16002"/>
      <c r="P33" s="16002"/>
      <c r="Q33" s="16002"/>
      <c r="R33" s="16007"/>
      <c r="S33" s="16002"/>
      <c r="T33" s="1296"/>
      <c r="U33" s="1296"/>
      <c r="V33" s="1295"/>
      <c r="W33" s="1176"/>
      <c r="X33" s="1149"/>
      <c r="Y33" s="1149"/>
      <c r="Z33" s="1149"/>
      <c r="AA33" s="1149"/>
      <c r="AB33" s="1149"/>
      <c r="AC33" s="1149" t="s">
        <v>210</v>
      </c>
      <c r="AD33" s="1149" t="s">
        <v>211</v>
      </c>
      <c r="AE33" s="1149" t="s">
        <v>212</v>
      </c>
      <c r="AF33" s="1149" t="s">
        <v>213</v>
      </c>
      <c r="AG33" s="1149" t="s">
        <v>214</v>
      </c>
      <c r="AH33" s="1149" t="str">
        <f>IF($E$33=0,"",$E$33)</f>
        <v>Тарифы на услуги по передаче тепловой энергии</v>
      </c>
      <c r="AI33" s="1149" t="str">
        <f>IF($G$33=0,"",$G$33)</f>
        <v/>
      </c>
      <c r="AJ33" s="1149" t="str">
        <f>IF($J$33=0,"",$J$33)</f>
        <v/>
      </c>
      <c r="AK33" s="1149" t="str">
        <f>IF($K$33="нет","без дифференциации",IF($N$33=0,"",$N$33))</f>
        <v/>
      </c>
      <c r="AL33" s="1149" t="str">
        <f>IF($O$33="нет","без дифференциации",IF($R$33=0,"",$R$33))</f>
        <v/>
      </c>
      <c r="AM33" s="1149" t="str">
        <f>IF($S$33="нет","без дифференциации",IF($V$33=0,"",$V$33))</f>
        <v/>
      </c>
      <c r="AN33" s="1634">
        <f>$I$33</f>
        <v>0</v>
      </c>
      <c r="AO33" s="1149" t="str">
        <f>$I$33&amp;"."&amp;$M$33</f>
        <v>.</v>
      </c>
      <c r="AP33" s="1142" t="str">
        <f>$I$33&amp;"."&amp;$M$33&amp;"."&amp;$Q$33</f>
        <v>..</v>
      </c>
      <c r="AQ33" s="1142" t="str">
        <f>$I$33&amp;"."&amp;$M$33&amp;"."&amp;$Q$33&amp;"."&amp;$U$33</f>
        <v>...</v>
      </c>
    </row>
    <row r="34" spans="1:43" s="14381" customFormat="1" ht="17.25" hidden="1" customHeight="1">
      <c r="A34" s="238"/>
      <c r="C34" s="237"/>
      <c r="D34" s="16000"/>
      <c r="E34" s="16008"/>
      <c r="F34" s="16011"/>
      <c r="G34" s="16008"/>
      <c r="H34" s="16014"/>
      <c r="I34" s="16016"/>
      <c r="J34" s="16018"/>
      <c r="K34" s="16003"/>
      <c r="L34" s="16003"/>
      <c r="M34" s="16003"/>
      <c r="N34" s="16005"/>
      <c r="O34" s="16003"/>
      <c r="P34" s="16003"/>
      <c r="Q34" s="16003"/>
      <c r="R34" s="16006"/>
      <c r="S34" s="16003"/>
      <c r="T34" s="1177"/>
      <c r="U34" s="1177"/>
      <c r="V34" s="1177"/>
      <c r="W34" s="1178"/>
      <c r="X34" s="1142"/>
      <c r="Y34" s="1142"/>
      <c r="Z34" s="1142"/>
      <c r="AA34" s="1142"/>
      <c r="AB34" s="1142"/>
      <c r="AC34" s="1142"/>
      <c r="AD34" s="1142"/>
      <c r="AE34" s="1142"/>
      <c r="AF34" s="1142"/>
      <c r="AG34" s="1142"/>
      <c r="AH34" s="1142"/>
      <c r="AI34" s="1142"/>
      <c r="AJ34" s="1142"/>
      <c r="AK34" s="1142"/>
      <c r="AL34" s="1142"/>
      <c r="AM34" s="1142"/>
      <c r="AN34" s="1142"/>
      <c r="AO34" s="1142"/>
      <c r="AP34" s="1142"/>
      <c r="AQ34" s="1142"/>
    </row>
    <row r="35" spans="1:43" s="14381" customFormat="1" ht="17.25" hidden="1" customHeight="1">
      <c r="A35" s="238"/>
      <c r="C35" s="237"/>
      <c r="D35" s="16001"/>
      <c r="E35" s="16009"/>
      <c r="F35" s="16011"/>
      <c r="G35" s="16009"/>
      <c r="H35" s="16014"/>
      <c r="I35" s="16016"/>
      <c r="J35" s="16019"/>
      <c r="K35" s="16003"/>
      <c r="L35" s="16003"/>
      <c r="M35" s="16003"/>
      <c r="N35" s="16006"/>
      <c r="O35" s="16003"/>
      <c r="P35" s="1294"/>
      <c r="Q35" s="1177"/>
      <c r="R35" s="1177"/>
      <c r="S35" s="246"/>
      <c r="T35" s="246"/>
      <c r="U35" s="246"/>
      <c r="V35" s="246"/>
      <c r="W35" s="1178"/>
      <c r="X35" s="1142"/>
      <c r="Y35" s="1142"/>
      <c r="Z35" s="1142"/>
      <c r="AA35" s="1142"/>
      <c r="AB35" s="1142"/>
      <c r="AC35" s="1142"/>
      <c r="AD35" s="1142"/>
      <c r="AE35" s="1142"/>
      <c r="AF35" s="1142"/>
      <c r="AG35" s="1142"/>
      <c r="AH35" s="1142"/>
      <c r="AI35" s="1142"/>
      <c r="AJ35" s="1142"/>
      <c r="AK35" s="1142"/>
      <c r="AL35" s="1142"/>
      <c r="AM35" s="1142"/>
      <c r="AN35" s="1142"/>
      <c r="AO35" s="1142"/>
      <c r="AP35" s="1142"/>
      <c r="AQ35" s="1142"/>
    </row>
    <row r="36" spans="1:43" s="14381" customFormat="1" ht="17.25" hidden="1" customHeight="1">
      <c r="A36" s="238"/>
      <c r="C36" s="237"/>
      <c r="D36" s="16001"/>
      <c r="E36" s="16009"/>
      <c r="F36" s="16011"/>
      <c r="G36" s="16009"/>
      <c r="H36" s="16014"/>
      <c r="I36" s="16016"/>
      <c r="J36" s="16019"/>
      <c r="K36" s="16003"/>
      <c r="L36" s="1177"/>
      <c r="M36" s="1177"/>
      <c r="N36" s="1177"/>
      <c r="O36" s="1177"/>
      <c r="P36" s="1177"/>
      <c r="Q36" s="1177"/>
      <c r="R36" s="1177"/>
      <c r="S36" s="246"/>
      <c r="T36" s="246"/>
      <c r="U36" s="246"/>
      <c r="V36" s="246"/>
      <c r="W36" s="1178"/>
      <c r="X36" s="1142"/>
      <c r="Y36" s="1142"/>
      <c r="Z36" s="1142"/>
      <c r="AA36" s="1142"/>
      <c r="AB36" s="1142"/>
      <c r="AC36" s="1142"/>
      <c r="AD36" s="1142"/>
      <c r="AE36" s="1142"/>
      <c r="AF36" s="1142"/>
      <c r="AG36" s="1142"/>
      <c r="AH36" s="1142"/>
      <c r="AI36" s="1142"/>
      <c r="AJ36" s="1142"/>
      <c r="AK36" s="1142"/>
      <c r="AL36" s="1142"/>
      <c r="AM36" s="1142"/>
      <c r="AN36" s="1142"/>
      <c r="AO36" s="1142"/>
      <c r="AP36" s="1142"/>
      <c r="AQ36" s="1142"/>
    </row>
    <row r="37" spans="1:43" s="14381" customFormat="1" ht="17.25" hidden="1" customHeight="1">
      <c r="A37" s="238"/>
      <c r="C37" s="237"/>
      <c r="D37" s="16001"/>
      <c r="E37" s="16009"/>
      <c r="F37" s="16012"/>
      <c r="G37" s="16009"/>
      <c r="H37" s="1179"/>
      <c r="I37" s="1180"/>
      <c r="J37" s="1180"/>
      <c r="K37" s="1180"/>
      <c r="L37" s="1180"/>
      <c r="M37" s="1180"/>
      <c r="N37" s="1180"/>
      <c r="O37" s="1180"/>
      <c r="P37" s="1180"/>
      <c r="Q37" s="1180"/>
      <c r="R37" s="1180"/>
      <c r="S37" s="1181"/>
      <c r="T37" s="1181"/>
      <c r="U37" s="1181"/>
      <c r="V37" s="1181"/>
      <c r="W37" s="1182"/>
      <c r="X37" s="1142"/>
      <c r="Y37" s="1142"/>
      <c r="Z37" s="1142"/>
      <c r="AA37" s="1142"/>
      <c r="AB37" s="1142"/>
      <c r="AC37" s="1142"/>
      <c r="AD37" s="1142"/>
      <c r="AE37" s="1142"/>
      <c r="AF37" s="1142"/>
      <c r="AG37" s="1142"/>
      <c r="AH37" s="1142"/>
      <c r="AI37" s="1142"/>
      <c r="AJ37" s="1142"/>
      <c r="AK37" s="1142"/>
      <c r="AL37" s="1142"/>
      <c r="AM37" s="1142"/>
      <c r="AN37" s="1142"/>
      <c r="AO37" s="1142"/>
      <c r="AP37" s="1142"/>
      <c r="AQ37" s="1142"/>
    </row>
    <row r="38" spans="1:43" s="14381" customFormat="1" ht="17.25" hidden="1" customHeight="1">
      <c r="A38" s="238"/>
      <c r="C38" s="131"/>
      <c r="D38" s="16000">
        <v>6</v>
      </c>
      <c r="E38" s="16008" t="s">
        <v>215</v>
      </c>
      <c r="F38" s="16010" t="s">
        <v>56</v>
      </c>
      <c r="G38" s="16008"/>
      <c r="H38" s="16013"/>
      <c r="I38" s="16015"/>
      <c r="J38" s="16017"/>
      <c r="K38" s="16002"/>
      <c r="L38" s="16002"/>
      <c r="M38" s="16002"/>
      <c r="N38" s="16004"/>
      <c r="O38" s="16002"/>
      <c r="P38" s="16002"/>
      <c r="Q38" s="16002"/>
      <c r="R38" s="16007"/>
      <c r="S38" s="16002"/>
      <c r="T38" s="1296"/>
      <c r="U38" s="1296"/>
      <c r="V38" s="1295"/>
      <c r="W38" s="1176"/>
      <c r="X38" s="1149"/>
      <c r="Y38" s="1149"/>
      <c r="Z38" s="1149"/>
      <c r="AA38" s="1149"/>
      <c r="AB38" s="1149"/>
      <c r="AC38" s="1149" t="s">
        <v>216</v>
      </c>
      <c r="AD38" s="1149" t="s">
        <v>217</v>
      </c>
      <c r="AE38" s="1149" t="s">
        <v>218</v>
      </c>
      <c r="AF38" s="1149" t="s">
        <v>219</v>
      </c>
      <c r="AG38" s="1149" t="s">
        <v>220</v>
      </c>
      <c r="AH38" s="1149" t="str">
        <f>IF($E$38=0,"",$E$38)</f>
        <v>Тарифы на услуги по передаче теплоносителя</v>
      </c>
      <c r="AI38" s="1149" t="str">
        <f>IF($G$38=0,"",$G$38)</f>
        <v/>
      </c>
      <c r="AJ38" s="1149" t="str">
        <f>IF($J$38=0,"",$J$38)</f>
        <v/>
      </c>
      <c r="AK38" s="1149" t="str">
        <f>IF($K$38="нет","без дифференциации",IF($N$38=0,"",$N$38))</f>
        <v/>
      </c>
      <c r="AL38" s="1149" t="str">
        <f>IF($O$38="нет","без дифференциации",IF($R$38=0,"",$R$38))</f>
        <v/>
      </c>
      <c r="AM38" s="1149" t="str">
        <f>IF($S$38="нет","без дифференциации",IF($V$38=0,"",$V$38))</f>
        <v/>
      </c>
      <c r="AN38" s="1634">
        <f>$I$38</f>
        <v>0</v>
      </c>
      <c r="AO38" s="1149" t="str">
        <f>$I$38&amp;"."&amp;$M$38</f>
        <v>.</v>
      </c>
      <c r="AP38" s="1142" t="str">
        <f>$I$38&amp;"."&amp;$M$38&amp;"."&amp;$Q$38</f>
        <v>..</v>
      </c>
      <c r="AQ38" s="1142" t="str">
        <f>$I$38&amp;"."&amp;$M$38&amp;"."&amp;$Q$38&amp;"."&amp;$U$38</f>
        <v>...</v>
      </c>
    </row>
    <row r="39" spans="1:43" s="14381" customFormat="1" ht="17.25" hidden="1" customHeight="1">
      <c r="A39" s="238"/>
      <c r="C39" s="237"/>
      <c r="D39" s="16000"/>
      <c r="E39" s="16008"/>
      <c r="F39" s="16011"/>
      <c r="G39" s="16008"/>
      <c r="H39" s="16014"/>
      <c r="I39" s="16016"/>
      <c r="J39" s="16018"/>
      <c r="K39" s="16003"/>
      <c r="L39" s="16003"/>
      <c r="M39" s="16003"/>
      <c r="N39" s="16005"/>
      <c r="O39" s="16003"/>
      <c r="P39" s="16003"/>
      <c r="Q39" s="16003"/>
      <c r="R39" s="16006"/>
      <c r="S39" s="16003"/>
      <c r="T39" s="1177"/>
      <c r="U39" s="1177"/>
      <c r="V39" s="1177"/>
      <c r="W39" s="1178"/>
      <c r="X39" s="1142"/>
      <c r="Y39" s="1142"/>
      <c r="Z39" s="1142"/>
      <c r="AA39" s="1142"/>
      <c r="AB39" s="1142"/>
      <c r="AC39" s="1142"/>
      <c r="AD39" s="1142"/>
      <c r="AE39" s="1142"/>
      <c r="AF39" s="1142"/>
      <c r="AG39" s="1142"/>
      <c r="AH39" s="1142"/>
      <c r="AI39" s="1142"/>
      <c r="AJ39" s="1142"/>
      <c r="AK39" s="1142"/>
      <c r="AL39" s="1142"/>
      <c r="AM39" s="1142"/>
      <c r="AN39" s="1142"/>
      <c r="AO39" s="1142"/>
      <c r="AP39" s="1142"/>
      <c r="AQ39" s="1142"/>
    </row>
    <row r="40" spans="1:43" s="14381" customFormat="1" ht="17.25" hidden="1" customHeight="1">
      <c r="A40" s="238"/>
      <c r="C40" s="237"/>
      <c r="D40" s="16001"/>
      <c r="E40" s="16009"/>
      <c r="F40" s="16011"/>
      <c r="G40" s="16009"/>
      <c r="H40" s="16014"/>
      <c r="I40" s="16016"/>
      <c r="J40" s="16019"/>
      <c r="K40" s="16003"/>
      <c r="L40" s="16003"/>
      <c r="M40" s="16003"/>
      <c r="N40" s="16006"/>
      <c r="O40" s="16003"/>
      <c r="P40" s="1294"/>
      <c r="Q40" s="1177"/>
      <c r="R40" s="1177"/>
      <c r="S40" s="246"/>
      <c r="T40" s="246"/>
      <c r="U40" s="246"/>
      <c r="V40" s="246"/>
      <c r="W40" s="1178"/>
      <c r="X40" s="1142"/>
      <c r="Y40" s="1142"/>
      <c r="Z40" s="1142"/>
      <c r="AA40" s="1142"/>
      <c r="AB40" s="1142"/>
      <c r="AC40" s="1142"/>
      <c r="AD40" s="1142"/>
      <c r="AE40" s="1142"/>
      <c r="AF40" s="1142"/>
      <c r="AG40" s="1142"/>
      <c r="AH40" s="1142"/>
      <c r="AI40" s="1142"/>
      <c r="AJ40" s="1142"/>
      <c r="AK40" s="1142"/>
      <c r="AL40" s="1142"/>
      <c r="AM40" s="1142"/>
      <c r="AN40" s="1142"/>
      <c r="AO40" s="1142"/>
      <c r="AP40" s="1142"/>
      <c r="AQ40" s="1142"/>
    </row>
    <row r="41" spans="1:43" s="14382" customFormat="1" ht="17.25" hidden="1" customHeight="1">
      <c r="A41" s="238"/>
      <c r="C41" s="131"/>
      <c r="D41" s="16001"/>
      <c r="E41" s="16009"/>
      <c r="F41" s="16011"/>
      <c r="G41" s="16009"/>
      <c r="H41" s="16014"/>
      <c r="I41" s="16016"/>
      <c r="J41" s="16019"/>
      <c r="K41" s="16003"/>
      <c r="L41" s="1177"/>
      <c r="M41" s="1177"/>
      <c r="N41" s="1177"/>
      <c r="O41" s="1177"/>
      <c r="P41" s="1177"/>
      <c r="Q41" s="1177"/>
      <c r="R41" s="1177"/>
      <c r="S41" s="246"/>
      <c r="T41" s="246"/>
      <c r="U41" s="246"/>
      <c r="V41" s="246"/>
      <c r="W41" s="1178"/>
      <c r="Y41" s="1149"/>
      <c r="Z41" s="1149"/>
      <c r="AA41" s="1149"/>
      <c r="AB41" s="1149"/>
      <c r="AC41" s="1149"/>
      <c r="AD41" s="1149"/>
      <c r="AE41" s="1149"/>
      <c r="AF41" s="1149"/>
      <c r="AG41" s="1149"/>
      <c r="AH41" s="1149"/>
      <c r="AI41" s="1149"/>
      <c r="AJ41" s="1149"/>
      <c r="AK41" s="1149"/>
      <c r="AL41" s="1149"/>
      <c r="AM41" s="1149"/>
      <c r="AN41" s="1149"/>
      <c r="AO41" s="1149"/>
      <c r="AP41" s="1149"/>
      <c r="AQ41" s="1149"/>
    </row>
    <row r="42" spans="1:43" s="14381" customFormat="1" ht="17.25" hidden="1" customHeight="1">
      <c r="A42" s="238"/>
      <c r="C42" s="237"/>
      <c r="D42" s="16001"/>
      <c r="E42" s="16009"/>
      <c r="F42" s="16012"/>
      <c r="G42" s="16009"/>
      <c r="H42" s="1179"/>
      <c r="I42" s="1180"/>
      <c r="J42" s="1180"/>
      <c r="K42" s="1180"/>
      <c r="L42" s="1180"/>
      <c r="M42" s="1180"/>
      <c r="N42" s="1180"/>
      <c r="O42" s="1180"/>
      <c r="P42" s="1180"/>
      <c r="Q42" s="1180"/>
      <c r="R42" s="1180"/>
      <c r="S42" s="1181"/>
      <c r="T42" s="1181"/>
      <c r="U42" s="1181"/>
      <c r="V42" s="1181"/>
      <c r="W42" s="1182"/>
      <c r="X42" s="1142"/>
      <c r="Y42" s="1142"/>
      <c r="Z42" s="1142"/>
      <c r="AA42" s="1142"/>
      <c r="AB42" s="1142"/>
      <c r="AC42" s="1142"/>
      <c r="AD42" s="1142"/>
      <c r="AE42" s="1142"/>
      <c r="AF42" s="1142"/>
      <c r="AG42" s="1142"/>
      <c r="AH42" s="1142"/>
      <c r="AI42" s="1142"/>
      <c r="AJ42" s="1142"/>
      <c r="AK42" s="1142"/>
      <c r="AL42" s="1142"/>
      <c r="AM42" s="1142"/>
      <c r="AN42" s="1142"/>
      <c r="AO42" s="1142"/>
      <c r="AP42" s="1142"/>
      <c r="AQ42" s="1142"/>
    </row>
    <row r="43" spans="1:43" s="14383" customFormat="1" ht="17.25" hidden="1" customHeight="1">
      <c r="A43" s="238"/>
      <c r="C43" s="131"/>
      <c r="D43" s="16029">
        <v>7</v>
      </c>
      <c r="E43" s="16032" t="s">
        <v>221</v>
      </c>
      <c r="F43" s="16010" t="s">
        <v>56</v>
      </c>
      <c r="G43" s="16032"/>
      <c r="H43" s="16013"/>
      <c r="I43" s="16015"/>
      <c r="J43" s="16017"/>
      <c r="K43" s="16002"/>
      <c r="L43" s="16002"/>
      <c r="M43" s="16002"/>
      <c r="N43" s="16004"/>
      <c r="O43" s="16002"/>
      <c r="P43" s="16002"/>
      <c r="Q43" s="16002"/>
      <c r="R43" s="16007"/>
      <c r="S43" s="16002"/>
      <c r="T43" s="1296"/>
      <c r="U43" s="1296"/>
      <c r="V43" s="1295"/>
      <c r="W43" s="1176"/>
      <c r="X43" s="1149"/>
      <c r="Y43" s="1149"/>
      <c r="Z43" s="1149"/>
      <c r="AA43" s="1149"/>
      <c r="AB43" s="1149"/>
      <c r="AC43" s="1149" t="s">
        <v>222</v>
      </c>
      <c r="AD43" s="1149" t="s">
        <v>223</v>
      </c>
      <c r="AE43" s="1149" t="s">
        <v>224</v>
      </c>
      <c r="AF43" s="1149" t="s">
        <v>225</v>
      </c>
      <c r="AG43" s="1149" t="s">
        <v>226</v>
      </c>
      <c r="AH43" s="1149" t="str">
        <f>IF($E$43=0,"",$E$43)</f>
        <v>Плата за услуги по поддержанию резервной тепловой мощности при отсутствии потребления тепловой энергии</v>
      </c>
      <c r="AI43" s="1149" t="str">
        <f>IF($G$43=0,"",$G$43)</f>
        <v/>
      </c>
      <c r="AJ43" s="1149" t="str">
        <f>IF($J$43=0,"",$J$43)</f>
        <v/>
      </c>
      <c r="AK43" s="1149" t="str">
        <f>IF($K$43="нет","без дифференциации",IF($N$43=0,"",$N$43))</f>
        <v/>
      </c>
      <c r="AL43" s="1149" t="str">
        <f>IF($O$43="нет","без дифференциации",IF($R$43=0,"",$R$43))</f>
        <v/>
      </c>
      <c r="AM43" s="1149" t="str">
        <f>IF($S$43="нет","без дифференциации",IF($V$43=0,"",$V$43))</f>
        <v/>
      </c>
      <c r="AN43" s="1634">
        <f>$I$43</f>
        <v>0</v>
      </c>
      <c r="AO43" s="1149" t="str">
        <f>$I$43&amp;"."&amp;$M$43</f>
        <v>.</v>
      </c>
      <c r="AP43" s="1142" t="str">
        <f>$I$43&amp;"."&amp;$M$43&amp;"."&amp;$Q$43</f>
        <v>..</v>
      </c>
      <c r="AQ43" s="1142" t="str">
        <f>$I$43&amp;"."&amp;$M$43&amp;"."&amp;$Q$43&amp;"."&amp;$U$43</f>
        <v>...</v>
      </c>
    </row>
    <row r="44" spans="1:43" s="14383" customFormat="1" ht="17.25" hidden="1" customHeight="1">
      <c r="A44" s="238"/>
      <c r="C44" s="237"/>
      <c r="D44" s="16030"/>
      <c r="E44" s="16033"/>
      <c r="F44" s="16011"/>
      <c r="G44" s="16033"/>
      <c r="H44" s="16014"/>
      <c r="I44" s="16016"/>
      <c r="J44" s="16018"/>
      <c r="K44" s="16003"/>
      <c r="L44" s="16003"/>
      <c r="M44" s="16003"/>
      <c r="N44" s="16005"/>
      <c r="O44" s="16003"/>
      <c r="P44" s="16003"/>
      <c r="Q44" s="16003"/>
      <c r="R44" s="16006"/>
      <c r="S44" s="16003"/>
      <c r="T44" s="1177"/>
      <c r="U44" s="1177"/>
      <c r="V44" s="1177"/>
      <c r="W44" s="1178"/>
      <c r="X44" s="1142"/>
      <c r="Y44" s="1142"/>
      <c r="Z44" s="1142"/>
      <c r="AA44" s="1142"/>
      <c r="AB44" s="1142"/>
      <c r="AC44" s="1142"/>
      <c r="AD44" s="1142"/>
      <c r="AE44" s="1142"/>
      <c r="AF44" s="1142"/>
      <c r="AG44" s="1142"/>
      <c r="AH44" s="1142"/>
      <c r="AI44" s="1142"/>
      <c r="AJ44" s="1142"/>
      <c r="AK44" s="1142"/>
      <c r="AL44" s="1142"/>
      <c r="AM44" s="1142"/>
      <c r="AN44" s="1142"/>
      <c r="AO44" s="1142"/>
      <c r="AP44" s="1142"/>
      <c r="AQ44" s="1142"/>
    </row>
    <row r="45" spans="1:43" s="14383" customFormat="1" ht="17.25" hidden="1" customHeight="1">
      <c r="A45" s="238"/>
      <c r="C45" s="237"/>
      <c r="D45" s="16030"/>
      <c r="E45" s="16033"/>
      <c r="F45" s="16011"/>
      <c r="G45" s="16033"/>
      <c r="H45" s="16014"/>
      <c r="I45" s="16016"/>
      <c r="J45" s="16019"/>
      <c r="K45" s="16003"/>
      <c r="L45" s="16003"/>
      <c r="M45" s="16003"/>
      <c r="N45" s="16006"/>
      <c r="O45" s="16003"/>
      <c r="P45" s="1294"/>
      <c r="Q45" s="1177"/>
      <c r="R45" s="1177"/>
      <c r="S45" s="246"/>
      <c r="T45" s="246"/>
      <c r="U45" s="246"/>
      <c r="V45" s="246"/>
      <c r="W45" s="1178"/>
      <c r="X45" s="1142"/>
      <c r="Y45" s="1142"/>
      <c r="Z45" s="1142"/>
      <c r="AA45" s="1142"/>
      <c r="AB45" s="1142"/>
      <c r="AC45" s="1142"/>
      <c r="AD45" s="1142"/>
      <c r="AE45" s="1142"/>
      <c r="AF45" s="1142"/>
      <c r="AG45" s="1142"/>
      <c r="AH45" s="1142"/>
      <c r="AI45" s="1142"/>
      <c r="AJ45" s="1142"/>
      <c r="AK45" s="1142"/>
      <c r="AL45" s="1142"/>
      <c r="AM45" s="1142"/>
      <c r="AN45" s="1142"/>
      <c r="AO45" s="1142"/>
      <c r="AP45" s="1142"/>
      <c r="AQ45" s="1142"/>
    </row>
    <row r="46" spans="1:43" s="14382" customFormat="1" ht="17.25" hidden="1" customHeight="1">
      <c r="A46" s="238"/>
      <c r="C46" s="131"/>
      <c r="D46" s="16030"/>
      <c r="E46" s="16033"/>
      <c r="F46" s="16011"/>
      <c r="G46" s="16033"/>
      <c r="H46" s="16014"/>
      <c r="I46" s="16016"/>
      <c r="J46" s="16019"/>
      <c r="K46" s="16003"/>
      <c r="L46" s="1177"/>
      <c r="M46" s="1177"/>
      <c r="N46" s="1177"/>
      <c r="O46" s="1177"/>
      <c r="P46" s="1177"/>
      <c r="Q46" s="1177"/>
      <c r="R46" s="1177"/>
      <c r="S46" s="246"/>
      <c r="T46" s="246"/>
      <c r="U46" s="246"/>
      <c r="V46" s="246"/>
      <c r="W46" s="1178"/>
      <c r="Y46" s="1149"/>
      <c r="Z46" s="1149"/>
      <c r="AA46" s="1149"/>
      <c r="AB46" s="1149"/>
      <c r="AC46" s="1149"/>
      <c r="AD46" s="1149"/>
      <c r="AE46" s="1149"/>
      <c r="AF46" s="1149"/>
      <c r="AG46" s="1149"/>
      <c r="AH46" s="1149"/>
      <c r="AI46" s="1149"/>
      <c r="AJ46" s="1149"/>
      <c r="AK46" s="1149"/>
      <c r="AL46" s="1149"/>
      <c r="AM46" s="1149"/>
      <c r="AN46" s="1149"/>
      <c r="AO46" s="1149"/>
      <c r="AP46" s="1149"/>
      <c r="AQ46" s="1149"/>
    </row>
    <row r="47" spans="1:43" s="14383" customFormat="1" ht="17.25" hidden="1" customHeight="1">
      <c r="A47" s="238"/>
      <c r="C47" s="237"/>
      <c r="D47" s="16031"/>
      <c r="E47" s="16034"/>
      <c r="F47" s="16012"/>
      <c r="G47" s="16034"/>
      <c r="H47" s="1179"/>
      <c r="I47" s="1180"/>
      <c r="J47" s="1180"/>
      <c r="K47" s="1180"/>
      <c r="L47" s="1180"/>
      <c r="M47" s="1180"/>
      <c r="N47" s="1180"/>
      <c r="O47" s="1180"/>
      <c r="P47" s="1180"/>
      <c r="Q47" s="1180"/>
      <c r="R47" s="1180"/>
      <c r="S47" s="1181"/>
      <c r="T47" s="1181"/>
      <c r="U47" s="1181"/>
      <c r="V47" s="1181"/>
      <c r="W47" s="1182"/>
      <c r="X47" s="1142"/>
      <c r="Y47" s="1142"/>
      <c r="Z47" s="1142"/>
      <c r="AA47" s="1142"/>
      <c r="AB47" s="1142"/>
      <c r="AC47" s="1142"/>
      <c r="AD47" s="1142"/>
      <c r="AE47" s="1142"/>
      <c r="AF47" s="1142"/>
      <c r="AG47" s="1142"/>
      <c r="AH47" s="1142"/>
      <c r="AI47" s="1142"/>
      <c r="AJ47" s="1142"/>
      <c r="AK47" s="1142"/>
      <c r="AL47" s="1142"/>
      <c r="AM47" s="1142"/>
      <c r="AN47" s="1142"/>
      <c r="AO47" s="1142"/>
      <c r="AP47" s="1142"/>
      <c r="AQ47" s="1142"/>
    </row>
    <row r="48" spans="1:43" s="14383" customFormat="1" ht="17.25" hidden="1" customHeight="1">
      <c r="A48" s="238"/>
      <c r="C48" s="131"/>
      <c r="D48" s="16000">
        <v>8</v>
      </c>
      <c r="E48" s="16008" t="s">
        <v>227</v>
      </c>
      <c r="F48" s="16010" t="s">
        <v>56</v>
      </c>
      <c r="G48" s="16008"/>
      <c r="H48" s="16013"/>
      <c r="I48" s="16015"/>
      <c r="J48" s="16017"/>
      <c r="K48" s="16002"/>
      <c r="L48" s="16002"/>
      <c r="M48" s="16002"/>
      <c r="N48" s="16004"/>
      <c r="O48" s="16002"/>
      <c r="P48" s="16002"/>
      <c r="Q48" s="16002"/>
      <c r="R48" s="16007"/>
      <c r="S48" s="16002"/>
      <c r="T48" s="1342"/>
      <c r="U48" s="1342"/>
      <c r="V48" s="1344"/>
      <c r="W48" s="1176"/>
      <c r="X48" s="1149"/>
      <c r="Y48" s="1149"/>
      <c r="Z48" s="1149"/>
      <c r="AA48" s="1149"/>
      <c r="AB48" s="1149"/>
      <c r="AC48" s="1149" t="s">
        <v>228</v>
      </c>
      <c r="AD48" s="1149" t="s">
        <v>229</v>
      </c>
      <c r="AE48" s="1149" t="s">
        <v>230</v>
      </c>
      <c r="AF48" s="1149" t="s">
        <v>231</v>
      </c>
      <c r="AG48" s="1149" t="s">
        <v>232</v>
      </c>
      <c r="AH48" s="1149" t="str">
        <f>IF($E$48=0,"",$E$48)</f>
        <v>Плата за подключение (технологическое присоединение) к системе теплоснабжения</v>
      </c>
      <c r="AI48" s="1149" t="str">
        <f>IF($G$48=0,"",$G$48)</f>
        <v/>
      </c>
      <c r="AJ48" s="1149" t="str">
        <f>IF($J$48=0,"",$J$48)</f>
        <v/>
      </c>
      <c r="AK48" s="1149" t="str">
        <f>IF($K$48="нет","без дифференциации",IF($N$48=0,"",$N$48))</f>
        <v/>
      </c>
      <c r="AL48" s="1149" t="str">
        <f>IF($O$48="нет","без дифференциации",IF($R$48=0,"",$R$48))</f>
        <v/>
      </c>
      <c r="AM48" s="1149" t="str">
        <f>IF($S$48="нет","без дифференциации",IF($V$48=0,"",$V$48))</f>
        <v/>
      </c>
      <c r="AN48" s="1634">
        <f>$I$48</f>
        <v>0</v>
      </c>
      <c r="AO48" s="1149" t="str">
        <f>$I$48&amp;"."&amp;$M$48</f>
        <v>.</v>
      </c>
      <c r="AP48" s="1142" t="str">
        <f>$I$48&amp;"."&amp;$M$48&amp;"."&amp;$Q$48</f>
        <v>..</v>
      </c>
      <c r="AQ48" s="1142" t="str">
        <f>$I$48&amp;"."&amp;$M$48&amp;"."&amp;$Q$48&amp;"."&amp;$U$48</f>
        <v>...</v>
      </c>
    </row>
    <row r="49" spans="1:43" s="14383" customFormat="1" ht="17.25" hidden="1" customHeight="1">
      <c r="A49" s="238"/>
      <c r="C49" s="237"/>
      <c r="D49" s="16000"/>
      <c r="E49" s="16008"/>
      <c r="F49" s="16011"/>
      <c r="G49" s="16008"/>
      <c r="H49" s="16014"/>
      <c r="I49" s="16016"/>
      <c r="J49" s="16018"/>
      <c r="K49" s="16003"/>
      <c r="L49" s="16003"/>
      <c r="M49" s="16003"/>
      <c r="N49" s="16005"/>
      <c r="O49" s="16003"/>
      <c r="P49" s="16003"/>
      <c r="Q49" s="16003"/>
      <c r="R49" s="16006"/>
      <c r="S49" s="16003"/>
      <c r="T49" s="1177"/>
      <c r="U49" s="1177"/>
      <c r="V49" s="1177"/>
      <c r="W49" s="1178"/>
      <c r="X49" s="1142"/>
      <c r="Y49" s="1142"/>
      <c r="Z49" s="1142"/>
      <c r="AA49" s="1142"/>
      <c r="AB49" s="1142"/>
      <c r="AC49" s="1142"/>
      <c r="AD49" s="1142"/>
      <c r="AE49" s="1142"/>
      <c r="AF49" s="1142"/>
      <c r="AG49" s="1142"/>
      <c r="AH49" s="1142"/>
      <c r="AI49" s="1142"/>
      <c r="AJ49" s="1142"/>
      <c r="AK49" s="1142"/>
      <c r="AL49" s="1142"/>
      <c r="AM49" s="1142"/>
      <c r="AN49" s="1142"/>
      <c r="AO49" s="1142"/>
      <c r="AP49" s="1142"/>
      <c r="AQ49" s="1142"/>
    </row>
    <row r="50" spans="1:43" s="14383" customFormat="1" ht="17.25" hidden="1" customHeight="1">
      <c r="A50" s="238"/>
      <c r="C50" s="237"/>
      <c r="D50" s="16001"/>
      <c r="E50" s="16009"/>
      <c r="F50" s="16011"/>
      <c r="G50" s="16009"/>
      <c r="H50" s="16014"/>
      <c r="I50" s="16016"/>
      <c r="J50" s="16019"/>
      <c r="K50" s="16003"/>
      <c r="L50" s="16003"/>
      <c r="M50" s="16003"/>
      <c r="N50" s="16006"/>
      <c r="O50" s="16003"/>
      <c r="P50" s="1343"/>
      <c r="Q50" s="1177"/>
      <c r="R50" s="1177"/>
      <c r="S50" s="246"/>
      <c r="T50" s="246"/>
      <c r="U50" s="246"/>
      <c r="V50" s="246"/>
      <c r="W50" s="1178"/>
      <c r="X50" s="1142"/>
      <c r="Y50" s="1142"/>
      <c r="Z50" s="1142"/>
      <c r="AA50" s="1142"/>
      <c r="AB50" s="1142"/>
      <c r="AC50" s="1142"/>
      <c r="AD50" s="1142"/>
      <c r="AE50" s="1142"/>
      <c r="AF50" s="1142"/>
      <c r="AG50" s="1142"/>
      <c r="AH50" s="1142"/>
      <c r="AI50" s="1142"/>
      <c r="AJ50" s="1142"/>
      <c r="AK50" s="1142"/>
      <c r="AL50" s="1142"/>
      <c r="AM50" s="1142"/>
      <c r="AN50" s="1142"/>
      <c r="AO50" s="1142"/>
      <c r="AP50" s="1142"/>
      <c r="AQ50" s="1142"/>
    </row>
    <row r="51" spans="1:43" s="14382" customFormat="1" ht="17.25" hidden="1" customHeight="1">
      <c r="A51" s="238"/>
      <c r="C51" s="131"/>
      <c r="D51" s="16001"/>
      <c r="E51" s="16009"/>
      <c r="F51" s="16011"/>
      <c r="G51" s="16009"/>
      <c r="H51" s="16014"/>
      <c r="I51" s="16016"/>
      <c r="J51" s="16019"/>
      <c r="K51" s="16003"/>
      <c r="L51" s="1177"/>
      <c r="M51" s="1177"/>
      <c r="N51" s="1177"/>
      <c r="O51" s="1177"/>
      <c r="P51" s="1177"/>
      <c r="Q51" s="1177"/>
      <c r="R51" s="1177"/>
      <c r="S51" s="246"/>
      <c r="T51" s="246"/>
      <c r="U51" s="246"/>
      <c r="V51" s="246"/>
      <c r="W51" s="1178"/>
      <c r="Y51" s="1149"/>
      <c r="Z51" s="1149"/>
      <c r="AA51" s="1149"/>
      <c r="AB51" s="1149"/>
      <c r="AC51" s="1149"/>
      <c r="AD51" s="1149"/>
      <c r="AE51" s="1149"/>
      <c r="AF51" s="1149"/>
      <c r="AG51" s="1149"/>
      <c r="AH51" s="1149"/>
      <c r="AI51" s="1149"/>
      <c r="AJ51" s="1149"/>
      <c r="AK51" s="1149"/>
      <c r="AL51" s="1149"/>
      <c r="AM51" s="1149"/>
      <c r="AN51" s="1149"/>
      <c r="AO51" s="1149"/>
      <c r="AP51" s="1149"/>
      <c r="AQ51" s="1149"/>
    </row>
    <row r="52" spans="1:43" s="14383" customFormat="1" ht="17.25" hidden="1" customHeight="1">
      <c r="A52" s="238"/>
      <c r="C52" s="237"/>
      <c r="D52" s="16001"/>
      <c r="E52" s="16009"/>
      <c r="F52" s="16012"/>
      <c r="G52" s="16009"/>
      <c r="H52" s="1179"/>
      <c r="I52" s="1180"/>
      <c r="J52" s="1180"/>
      <c r="K52" s="1180"/>
      <c r="L52" s="1180"/>
      <c r="M52" s="1180"/>
      <c r="N52" s="1180"/>
      <c r="O52" s="1180"/>
      <c r="P52" s="1180"/>
      <c r="Q52" s="1180"/>
      <c r="R52" s="1180"/>
      <c r="S52" s="1181"/>
      <c r="T52" s="1181"/>
      <c r="U52" s="1181"/>
      <c r="V52" s="1181"/>
      <c r="W52" s="1182"/>
      <c r="X52" s="1142"/>
      <c r="Y52" s="1142"/>
      <c r="Z52" s="1142"/>
      <c r="AA52" s="1142"/>
      <c r="AB52" s="1142"/>
      <c r="AC52" s="1142"/>
      <c r="AD52" s="1142"/>
      <c r="AE52" s="1142"/>
      <c r="AF52" s="1142"/>
      <c r="AG52" s="1142"/>
      <c r="AH52" s="1142"/>
      <c r="AI52" s="1142"/>
      <c r="AJ52" s="1142"/>
      <c r="AK52" s="1142"/>
      <c r="AL52" s="1142"/>
      <c r="AM52" s="1142"/>
      <c r="AN52" s="1142"/>
      <c r="AO52" s="1142"/>
      <c r="AP52" s="1142"/>
      <c r="AQ52" s="1142"/>
    </row>
    <row r="53" spans="1:43" s="14384" customFormat="1" ht="17.25" hidden="1" customHeight="1">
      <c r="A53" s="238"/>
      <c r="C53" s="131"/>
      <c r="D53" s="16000">
        <v>9</v>
      </c>
      <c r="E53" s="16008" t="s">
        <v>233</v>
      </c>
      <c r="F53" s="16010" t="s">
        <v>56</v>
      </c>
      <c r="G53" s="16008"/>
      <c r="H53" s="16013"/>
      <c r="I53" s="16015"/>
      <c r="J53" s="16017"/>
      <c r="K53" s="16002"/>
      <c r="L53" s="16002"/>
      <c r="M53" s="16002"/>
      <c r="N53" s="16004"/>
      <c r="O53" s="16002"/>
      <c r="P53" s="16002"/>
      <c r="Q53" s="16002"/>
      <c r="R53" s="16007"/>
      <c r="S53" s="16002"/>
      <c r="T53" s="1791"/>
      <c r="U53" s="1791"/>
      <c r="V53" s="1793"/>
      <c r="W53" s="1176"/>
      <c r="X53" s="1149"/>
      <c r="Y53" s="1149"/>
      <c r="Z53" s="1149"/>
      <c r="AA53" s="1149"/>
      <c r="AB53" s="1149"/>
      <c r="AC53" s="1149" t="s">
        <v>234</v>
      </c>
      <c r="AD53" s="1149" t="s">
        <v>235</v>
      </c>
      <c r="AE53" s="1149" t="s">
        <v>236</v>
      </c>
      <c r="AF53" s="1149" t="s">
        <v>237</v>
      </c>
      <c r="AG53" s="1149" t="s">
        <v>238</v>
      </c>
      <c r="AH53" s="1149" t="str">
        <f>IF($E$53=0,"",$E$53)</f>
        <v>Плата за подключение к системе теплоснабжения (индивидуальная)</v>
      </c>
      <c r="AI53" s="1149" t="str">
        <f>IF($G$53=0,"",$G$53)</f>
        <v/>
      </c>
      <c r="AJ53" s="1149" t="str">
        <f>IF($J$53=0,"",$J$53)</f>
        <v/>
      </c>
      <c r="AK53" s="1149" t="str">
        <f>IF($K$53="нет","без дифференциации",IF($N$53=0,"",$N$53))</f>
        <v/>
      </c>
      <c r="AL53" s="1149" t="str">
        <f>IF($O$53="нет","без дифференциации",IF($R$53=0,"",$R$53))</f>
        <v/>
      </c>
      <c r="AM53" s="1149" t="str">
        <f>IF($S$53="нет","без дифференциации",IF($V$53=0,"",$V$53))</f>
        <v/>
      </c>
      <c r="AN53" s="1634">
        <f>$I$53</f>
        <v>0</v>
      </c>
      <c r="AO53" s="1149" t="str">
        <f>$I$53&amp;"."&amp;$M$53</f>
        <v>.</v>
      </c>
      <c r="AP53" s="1148" t="str">
        <f>$I$53&amp;"."&amp;$M$53&amp;"."&amp;$Q$53</f>
        <v>..</v>
      </c>
      <c r="AQ53" s="1148" t="str">
        <f>$I$53&amp;"."&amp;$M$53&amp;"."&amp;$Q$53&amp;"."&amp;$U$53</f>
        <v>...</v>
      </c>
    </row>
    <row r="54" spans="1:43" s="14384" customFormat="1" ht="17.25" hidden="1" customHeight="1">
      <c r="A54" s="238"/>
      <c r="C54" s="237"/>
      <c r="D54" s="16000"/>
      <c r="E54" s="16008"/>
      <c r="F54" s="16011"/>
      <c r="G54" s="16008"/>
      <c r="H54" s="16014"/>
      <c r="I54" s="16016"/>
      <c r="J54" s="16018"/>
      <c r="K54" s="16003"/>
      <c r="L54" s="16003"/>
      <c r="M54" s="16003"/>
      <c r="N54" s="16005"/>
      <c r="O54" s="16003"/>
      <c r="P54" s="16003"/>
      <c r="Q54" s="16003"/>
      <c r="R54" s="16006"/>
      <c r="S54" s="16003"/>
      <c r="T54" s="1794"/>
      <c r="U54" s="1794"/>
      <c r="V54" s="1794"/>
      <c r="W54" s="1795"/>
      <c r="X54" s="1148"/>
      <c r="Y54" s="1148"/>
      <c r="Z54" s="1148"/>
      <c r="AA54" s="1148"/>
      <c r="AB54" s="1148"/>
      <c r="AC54" s="1148"/>
      <c r="AD54" s="1148"/>
      <c r="AE54" s="1148"/>
      <c r="AF54" s="1148"/>
      <c r="AG54" s="1148"/>
      <c r="AH54" s="1148"/>
      <c r="AI54" s="1148"/>
      <c r="AJ54" s="1148"/>
      <c r="AK54" s="1148"/>
      <c r="AL54" s="1148"/>
      <c r="AM54" s="1148"/>
      <c r="AN54" s="1148"/>
      <c r="AO54" s="1148"/>
      <c r="AP54" s="1148"/>
      <c r="AQ54" s="1148"/>
    </row>
    <row r="55" spans="1:43" s="14384" customFormat="1" ht="17.25" hidden="1" customHeight="1">
      <c r="A55" s="238"/>
      <c r="C55" s="237"/>
      <c r="D55" s="16001"/>
      <c r="E55" s="16009"/>
      <c r="F55" s="16011"/>
      <c r="G55" s="16009"/>
      <c r="H55" s="16014"/>
      <c r="I55" s="16016"/>
      <c r="J55" s="16019"/>
      <c r="K55" s="16003"/>
      <c r="L55" s="16003"/>
      <c r="M55" s="16003"/>
      <c r="N55" s="16006"/>
      <c r="O55" s="16003"/>
      <c r="P55" s="1792"/>
      <c r="Q55" s="1794"/>
      <c r="R55" s="1794"/>
      <c r="S55" s="246"/>
      <c r="T55" s="246"/>
      <c r="U55" s="246"/>
      <c r="V55" s="246"/>
      <c r="W55" s="1795"/>
      <c r="X55" s="1148"/>
      <c r="Y55" s="1148"/>
      <c r="Z55" s="1148"/>
      <c r="AA55" s="1148"/>
      <c r="AB55" s="1148"/>
      <c r="AC55" s="1148"/>
      <c r="AD55" s="1148"/>
      <c r="AE55" s="1148"/>
      <c r="AF55" s="1148"/>
      <c r="AG55" s="1148"/>
      <c r="AH55" s="1148"/>
      <c r="AI55" s="1148"/>
      <c r="AJ55" s="1148"/>
      <c r="AK55" s="1148"/>
      <c r="AL55" s="1148"/>
      <c r="AM55" s="1148"/>
      <c r="AN55" s="1148"/>
      <c r="AO55" s="1148"/>
      <c r="AP55" s="1148"/>
      <c r="AQ55" s="1148"/>
    </row>
    <row r="56" spans="1:43" s="14384" customFormat="1" ht="17.25" hidden="1" customHeight="1">
      <c r="A56" s="238"/>
      <c r="C56" s="131"/>
      <c r="D56" s="16001"/>
      <c r="E56" s="16009"/>
      <c r="F56" s="16011"/>
      <c r="G56" s="16009"/>
      <c r="H56" s="16014"/>
      <c r="I56" s="16016"/>
      <c r="J56" s="16019"/>
      <c r="K56" s="16003"/>
      <c r="L56" s="1794"/>
      <c r="M56" s="1794"/>
      <c r="N56" s="1794"/>
      <c r="O56" s="1794"/>
      <c r="P56" s="1794"/>
      <c r="Q56" s="1794"/>
      <c r="R56" s="1794"/>
      <c r="S56" s="246"/>
      <c r="T56" s="246"/>
      <c r="U56" s="246"/>
      <c r="V56" s="246"/>
      <c r="W56" s="1795"/>
      <c r="Y56" s="1149"/>
      <c r="Z56" s="1149"/>
      <c r="AA56" s="1149"/>
      <c r="AB56" s="1149"/>
      <c r="AC56" s="1149"/>
      <c r="AD56" s="1149"/>
      <c r="AE56" s="1149"/>
      <c r="AF56" s="1149"/>
      <c r="AG56" s="1149"/>
      <c r="AH56" s="1149"/>
      <c r="AI56" s="1149"/>
      <c r="AJ56" s="1149"/>
      <c r="AK56" s="1149"/>
      <c r="AL56" s="1149"/>
      <c r="AM56" s="1149"/>
      <c r="AN56" s="1149"/>
      <c r="AO56" s="1149"/>
      <c r="AP56" s="1149"/>
      <c r="AQ56" s="1149"/>
    </row>
    <row r="57" spans="1:43" s="14384" customFormat="1" ht="17.25" hidden="1" customHeight="1">
      <c r="A57" s="238"/>
      <c r="C57" s="237"/>
      <c r="D57" s="16001"/>
      <c r="E57" s="16009"/>
      <c r="F57" s="16012"/>
      <c r="G57" s="16009"/>
      <c r="H57" s="1179"/>
      <c r="I57" s="1796"/>
      <c r="J57" s="1796"/>
      <c r="K57" s="1796"/>
      <c r="L57" s="1796"/>
      <c r="M57" s="1796"/>
      <c r="N57" s="1796"/>
      <c r="O57" s="1796"/>
      <c r="P57" s="1796"/>
      <c r="Q57" s="1796"/>
      <c r="R57" s="1796"/>
      <c r="S57" s="1181"/>
      <c r="T57" s="1181"/>
      <c r="U57" s="1181"/>
      <c r="V57" s="1181"/>
      <c r="W57" s="1797"/>
      <c r="X57" s="1148"/>
      <c r="Y57" s="1148"/>
      <c r="Z57" s="1148"/>
      <c r="AA57" s="1148"/>
      <c r="AB57" s="1148"/>
      <c r="AC57" s="1148"/>
      <c r="AD57" s="1148"/>
      <c r="AE57" s="1148"/>
      <c r="AF57" s="1148"/>
      <c r="AG57" s="1148"/>
      <c r="AH57" s="1148"/>
      <c r="AI57" s="1148"/>
      <c r="AJ57" s="1148"/>
      <c r="AK57" s="1148"/>
      <c r="AL57" s="1148"/>
      <c r="AM57" s="1148"/>
      <c r="AN57" s="1148"/>
      <c r="AO57" s="1148"/>
      <c r="AP57" s="1148"/>
      <c r="AQ57" s="1148"/>
    </row>
    <row r="58" spans="1:43" s="14384" customFormat="1" ht="17.25" hidden="1" customHeight="1">
      <c r="A58" s="238"/>
      <c r="C58" s="131"/>
      <c r="D58" s="16000">
        <v>10</v>
      </c>
      <c r="E58" s="16008" t="s">
        <v>239</v>
      </c>
      <c r="F58" s="16010" t="s">
        <v>56</v>
      </c>
      <c r="G58" s="16008"/>
      <c r="H58" s="16013"/>
      <c r="I58" s="16015"/>
      <c r="J58" s="16017"/>
      <c r="K58" s="16002"/>
      <c r="L58" s="16002"/>
      <c r="M58" s="16002"/>
      <c r="N58" s="16004"/>
      <c r="O58" s="16002"/>
      <c r="P58" s="16002"/>
      <c r="Q58" s="16002"/>
      <c r="R58" s="16007"/>
      <c r="S58" s="16002"/>
      <c r="T58" s="1791"/>
      <c r="U58" s="1791"/>
      <c r="V58" s="1793"/>
      <c r="W58" s="1176"/>
      <c r="X58" s="1149"/>
      <c r="Y58" s="1149"/>
      <c r="Z58" s="1149"/>
      <c r="AA58" s="1149"/>
      <c r="AB58" s="1149"/>
      <c r="AC58" s="1149" t="s">
        <v>240</v>
      </c>
      <c r="AD58" s="1149" t="s">
        <v>241</v>
      </c>
      <c r="AE58" s="1149" t="s">
        <v>242</v>
      </c>
      <c r="AF58" s="1149" t="s">
        <v>243</v>
      </c>
      <c r="AG58" s="1149" t="s">
        <v>244</v>
      </c>
      <c r="AH58" s="1149" t="str">
        <f>IF($E$58=0,"",$E$58)</f>
        <v>Предельный уровень цены на тепловую энергию (мощность), поставляемую теплоснабжающими организациями потребителям</v>
      </c>
      <c r="AI58" s="1149" t="str">
        <f>IF($G$58=0,"",$G$58)</f>
        <v/>
      </c>
      <c r="AJ58" s="1149" t="str">
        <f>IF($J$58=0,"",$J$58)</f>
        <v/>
      </c>
      <c r="AK58" s="1149" t="str">
        <f>IF($K$58="нет","без дифференциации",IF($N$58=0,"",$N$58))</f>
        <v/>
      </c>
      <c r="AL58" s="1149" t="str">
        <f>IF($O$58="нет","без дифференциации",IF($R$58=0,"",$R$58))</f>
        <v/>
      </c>
      <c r="AM58" s="1149" t="str">
        <f>IF($S$58="нет","без дифференциации",IF($V$58=0,"",$V$58))</f>
        <v/>
      </c>
      <c r="AN58" s="1634">
        <f>$I$58</f>
        <v>0</v>
      </c>
      <c r="AO58" s="1149" t="str">
        <f>$I$58&amp;"."&amp;$M$58</f>
        <v>.</v>
      </c>
      <c r="AP58" s="1148" t="str">
        <f>$I$58&amp;"."&amp;$M$58&amp;"."&amp;$Q$58</f>
        <v>..</v>
      </c>
      <c r="AQ58" s="1148" t="str">
        <f>$I$58&amp;"."&amp;$M$58&amp;"."&amp;$Q$58&amp;"."&amp;$U$58</f>
        <v>...</v>
      </c>
    </row>
    <row r="59" spans="1:43" s="14384" customFormat="1" ht="17.25" hidden="1" customHeight="1">
      <c r="A59" s="238"/>
      <c r="C59" s="237"/>
      <c r="D59" s="16000"/>
      <c r="E59" s="16008"/>
      <c r="F59" s="16011"/>
      <c r="G59" s="16008"/>
      <c r="H59" s="16014"/>
      <c r="I59" s="16016"/>
      <c r="J59" s="16018"/>
      <c r="K59" s="16003"/>
      <c r="L59" s="16003"/>
      <c r="M59" s="16003"/>
      <c r="N59" s="16005"/>
      <c r="O59" s="16003"/>
      <c r="P59" s="16003"/>
      <c r="Q59" s="16003"/>
      <c r="R59" s="16006"/>
      <c r="S59" s="16003"/>
      <c r="T59" s="1794"/>
      <c r="U59" s="1794"/>
      <c r="V59" s="1794"/>
      <c r="W59" s="1795"/>
      <c r="X59" s="1148"/>
      <c r="Y59" s="1148"/>
      <c r="Z59" s="1148"/>
      <c r="AA59" s="1148"/>
      <c r="AB59" s="1148"/>
      <c r="AC59" s="1148"/>
      <c r="AD59" s="1148"/>
      <c r="AE59" s="1148"/>
      <c r="AF59" s="1148"/>
      <c r="AG59" s="1148"/>
      <c r="AH59" s="1148"/>
      <c r="AI59" s="1148"/>
      <c r="AJ59" s="1148"/>
      <c r="AK59" s="1148"/>
      <c r="AL59" s="1148"/>
      <c r="AM59" s="1148"/>
      <c r="AN59" s="1148"/>
      <c r="AO59" s="1148"/>
      <c r="AP59" s="1148"/>
      <c r="AQ59" s="1148"/>
    </row>
    <row r="60" spans="1:43" s="14384" customFormat="1" ht="17.25" hidden="1" customHeight="1">
      <c r="A60" s="238"/>
      <c r="C60" s="237"/>
      <c r="D60" s="16001"/>
      <c r="E60" s="16009"/>
      <c r="F60" s="16011"/>
      <c r="G60" s="16009"/>
      <c r="H60" s="16014"/>
      <c r="I60" s="16016"/>
      <c r="J60" s="16019"/>
      <c r="K60" s="16003"/>
      <c r="L60" s="16003"/>
      <c r="M60" s="16003"/>
      <c r="N60" s="16006"/>
      <c r="O60" s="16003"/>
      <c r="P60" s="1792"/>
      <c r="Q60" s="1794"/>
      <c r="R60" s="1794"/>
      <c r="S60" s="246"/>
      <c r="T60" s="246"/>
      <c r="U60" s="246"/>
      <c r="V60" s="246"/>
      <c r="W60" s="1795"/>
      <c r="X60" s="1148"/>
      <c r="Y60" s="1148"/>
      <c r="Z60" s="1148"/>
      <c r="AA60" s="1148"/>
      <c r="AB60" s="1148"/>
      <c r="AC60" s="1148"/>
      <c r="AD60" s="1148"/>
      <c r="AE60" s="1148"/>
      <c r="AF60" s="1148"/>
      <c r="AG60" s="1148"/>
      <c r="AH60" s="1148"/>
      <c r="AI60" s="1148"/>
      <c r="AJ60" s="1148"/>
      <c r="AK60" s="1148"/>
      <c r="AL60" s="1148"/>
      <c r="AM60" s="1148"/>
      <c r="AN60" s="1148"/>
      <c r="AO60" s="1148"/>
      <c r="AP60" s="1148"/>
      <c r="AQ60" s="1148"/>
    </row>
    <row r="61" spans="1:43" s="14384" customFormat="1" ht="17.25" hidden="1" customHeight="1">
      <c r="A61" s="238"/>
      <c r="C61" s="131"/>
      <c r="D61" s="16001"/>
      <c r="E61" s="16009"/>
      <c r="F61" s="16011"/>
      <c r="G61" s="16009"/>
      <c r="H61" s="16014"/>
      <c r="I61" s="16016"/>
      <c r="J61" s="16019"/>
      <c r="K61" s="16003"/>
      <c r="L61" s="1794"/>
      <c r="M61" s="1794"/>
      <c r="N61" s="1794"/>
      <c r="O61" s="1794"/>
      <c r="P61" s="1794"/>
      <c r="Q61" s="1794"/>
      <c r="R61" s="1794"/>
      <c r="S61" s="246"/>
      <c r="T61" s="246"/>
      <c r="U61" s="246"/>
      <c r="V61" s="246"/>
      <c r="W61" s="1795"/>
      <c r="Y61" s="1149"/>
      <c r="Z61" s="1149"/>
      <c r="AA61" s="1149"/>
      <c r="AB61" s="1149"/>
      <c r="AC61" s="1149"/>
      <c r="AD61" s="1149"/>
      <c r="AE61" s="1149"/>
      <c r="AF61" s="1149"/>
      <c r="AG61" s="1149"/>
      <c r="AH61" s="1149"/>
      <c r="AI61" s="1149"/>
      <c r="AJ61" s="1149"/>
      <c r="AK61" s="1149"/>
      <c r="AL61" s="1149"/>
      <c r="AM61" s="1149"/>
      <c r="AN61" s="1149"/>
      <c r="AO61" s="1149"/>
      <c r="AP61" s="1149"/>
      <c r="AQ61" s="1149"/>
    </row>
    <row r="62" spans="1:43" s="14384" customFormat="1" ht="17.25" hidden="1" customHeight="1">
      <c r="A62" s="238"/>
      <c r="C62" s="237"/>
      <c r="D62" s="16001"/>
      <c r="E62" s="16009"/>
      <c r="F62" s="16012"/>
      <c r="G62" s="16009"/>
      <c r="H62" s="1179"/>
      <c r="I62" s="1796"/>
      <c r="J62" s="1796"/>
      <c r="K62" s="1796"/>
      <c r="L62" s="1796"/>
      <c r="M62" s="1796"/>
      <c r="N62" s="1796"/>
      <c r="O62" s="1796"/>
      <c r="P62" s="1796"/>
      <c r="Q62" s="1796"/>
      <c r="R62" s="1796"/>
      <c r="S62" s="1181"/>
      <c r="T62" s="1181"/>
      <c r="U62" s="1181"/>
      <c r="V62" s="1181"/>
      <c r="W62" s="1797"/>
      <c r="X62" s="1148"/>
      <c r="Y62" s="1148"/>
      <c r="Z62" s="1148"/>
      <c r="AA62" s="1148"/>
      <c r="AB62" s="1148"/>
      <c r="AC62" s="1148"/>
      <c r="AD62" s="1148"/>
      <c r="AE62" s="1148"/>
      <c r="AF62" s="1148"/>
      <c r="AG62" s="1148"/>
      <c r="AH62" s="1148"/>
      <c r="AI62" s="1148"/>
      <c r="AJ62" s="1148"/>
      <c r="AK62" s="1148"/>
      <c r="AL62" s="1148"/>
      <c r="AM62" s="1148"/>
      <c r="AN62" s="1148"/>
      <c r="AO62" s="1148"/>
      <c r="AP62" s="1148"/>
      <c r="AQ62" s="1148"/>
    </row>
    <row r="63" spans="1:43" ht="11.25" hidden="1" customHeight="1"/>
    <row r="64" spans="1:43" ht="11.25" hidden="1" customHeight="1">
      <c r="E64" s="16037" t="s">
        <v>245</v>
      </c>
      <c r="F64" s="16037"/>
      <c r="G64" s="16037"/>
      <c r="H64" s="16037"/>
      <c r="I64" s="16037"/>
      <c r="J64" s="16037"/>
      <c r="K64" s="16037"/>
      <c r="L64" s="16037"/>
      <c r="M64" s="16037"/>
      <c r="N64" s="16037"/>
      <c r="O64" s="16037"/>
      <c r="P64" s="16037"/>
      <c r="Q64" s="16037"/>
      <c r="R64" s="16037"/>
      <c r="S64" s="16037"/>
      <c r="T64" s="16037"/>
      <c r="U64" s="16037"/>
      <c r="V64" s="16037"/>
      <c r="W64" s="16037"/>
    </row>
    <row r="65" spans="1:43" ht="36.75" hidden="1" customHeight="1">
      <c r="E65" s="16035" t="s">
        <v>246</v>
      </c>
      <c r="F65" s="16035"/>
      <c r="G65" s="16036"/>
      <c r="H65" s="16036"/>
      <c r="I65" s="16036"/>
      <c r="J65" s="16036"/>
      <c r="K65" s="16036"/>
      <c r="L65" s="16036"/>
      <c r="M65" s="16036"/>
      <c r="N65" s="16036"/>
      <c r="O65" s="16036"/>
      <c r="P65" s="16036"/>
      <c r="Q65" s="16036"/>
      <c r="R65" s="16036"/>
      <c r="S65" s="16036"/>
      <c r="T65" s="16036"/>
      <c r="U65" s="16036"/>
      <c r="V65" s="16036"/>
      <c r="W65" s="16036"/>
    </row>
    <row r="66" spans="1:43" ht="28.5" hidden="1" customHeight="1">
      <c r="E66" s="16035" t="s">
        <v>247</v>
      </c>
      <c r="F66" s="16035"/>
      <c r="G66" s="16036"/>
      <c r="H66" s="16036"/>
      <c r="I66" s="16036"/>
      <c r="J66" s="16036"/>
      <c r="K66" s="16036"/>
      <c r="L66" s="16036"/>
      <c r="M66" s="16036"/>
      <c r="N66" s="16036"/>
      <c r="O66" s="16036"/>
      <c r="P66" s="16036"/>
      <c r="Q66" s="16036"/>
      <c r="R66" s="16036"/>
      <c r="S66" s="16036"/>
      <c r="T66" s="16036"/>
      <c r="U66" s="16036"/>
      <c r="V66" s="16036"/>
      <c r="W66" s="16036"/>
    </row>
    <row r="67" spans="1:43" ht="27" hidden="1" customHeight="1">
      <c r="E67" s="16035" t="s">
        <v>248</v>
      </c>
      <c r="F67" s="16035"/>
      <c r="G67" s="16036"/>
      <c r="H67" s="16036"/>
      <c r="I67" s="16036"/>
      <c r="J67" s="16036"/>
      <c r="K67" s="16036"/>
      <c r="L67" s="16036"/>
      <c r="M67" s="16036"/>
      <c r="N67" s="16036"/>
      <c r="O67" s="16036"/>
      <c r="P67" s="16036"/>
      <c r="Q67" s="16036"/>
      <c r="R67" s="16036"/>
      <c r="S67" s="16036"/>
      <c r="T67" s="16036"/>
      <c r="U67" s="16036"/>
      <c r="V67" s="16036"/>
      <c r="W67" s="16036"/>
    </row>
    <row r="68" spans="1:43" ht="17.25" hidden="1" customHeight="1">
      <c r="E68" s="16035" t="s">
        <v>249</v>
      </c>
      <c r="F68" s="16035"/>
      <c r="G68" s="16036"/>
      <c r="H68" s="16036"/>
      <c r="I68" s="16036"/>
      <c r="J68" s="16036"/>
      <c r="K68" s="16036"/>
      <c r="L68" s="16036"/>
      <c r="M68" s="16036"/>
      <c r="N68" s="16036"/>
      <c r="O68" s="16036"/>
      <c r="P68" s="16036"/>
      <c r="Q68" s="16036"/>
      <c r="R68" s="16036"/>
      <c r="S68" s="16036"/>
      <c r="T68" s="16036"/>
      <c r="U68" s="16036"/>
      <c r="V68" s="16036"/>
      <c r="W68" s="16036"/>
    </row>
    <row r="69" spans="1:43" ht="15" hidden="1" customHeight="1">
      <c r="E69" s="257"/>
      <c r="F69" s="1166"/>
      <c r="G69" s="81"/>
      <c r="H69" s="81"/>
      <c r="I69" s="81"/>
      <c r="J69" s="81"/>
      <c r="K69" s="81"/>
      <c r="L69" s="81"/>
      <c r="M69" s="81"/>
      <c r="N69" s="81"/>
      <c r="O69" s="81"/>
      <c r="P69" s="81"/>
      <c r="Q69" s="81"/>
      <c r="R69" s="81"/>
      <c r="S69" s="81"/>
      <c r="T69" s="81"/>
      <c r="U69" s="81"/>
      <c r="V69" s="81"/>
      <c r="W69" s="81"/>
    </row>
    <row r="70" spans="1:43" ht="15" hidden="1" customHeight="1">
      <c r="E70" s="16037" t="s">
        <v>250</v>
      </c>
      <c r="F70" s="16037"/>
      <c r="G70" s="16037"/>
      <c r="H70" s="16037"/>
      <c r="I70" s="16037"/>
      <c r="J70" s="16037"/>
      <c r="K70" s="16037"/>
      <c r="L70" s="16037"/>
      <c r="M70" s="16037"/>
      <c r="N70" s="16037"/>
      <c r="O70" s="16037"/>
      <c r="P70" s="16037"/>
      <c r="Q70" s="16037"/>
      <c r="R70" s="16037"/>
      <c r="S70" s="16037"/>
      <c r="T70" s="16037"/>
      <c r="U70" s="16037"/>
      <c r="V70" s="16037"/>
      <c r="W70" s="16037"/>
    </row>
    <row r="71" spans="1:43" ht="17.25" hidden="1" customHeight="1">
      <c r="E71" s="16035" t="s">
        <v>251</v>
      </c>
      <c r="F71" s="16035"/>
      <c r="G71" s="16036"/>
      <c r="H71" s="16036"/>
      <c r="I71" s="16036"/>
      <c r="J71" s="16036"/>
      <c r="K71" s="16036"/>
      <c r="L71" s="16036"/>
      <c r="M71" s="16036"/>
      <c r="N71" s="16036"/>
      <c r="O71" s="16036"/>
      <c r="P71" s="16036"/>
      <c r="Q71" s="16036"/>
      <c r="R71" s="16036"/>
      <c r="S71" s="16036"/>
      <c r="T71" s="16036"/>
      <c r="U71" s="16036"/>
      <c r="V71" s="16036"/>
      <c r="W71" s="16036"/>
    </row>
    <row r="72" spans="1:43" ht="17.25" hidden="1" customHeight="1">
      <c r="E72" s="16035" t="s">
        <v>252</v>
      </c>
      <c r="F72" s="16035"/>
      <c r="G72" s="16036"/>
      <c r="H72" s="16036"/>
      <c r="I72" s="16036"/>
      <c r="J72" s="16036"/>
      <c r="K72" s="16036"/>
      <c r="L72" s="16036"/>
      <c r="M72" s="16036"/>
      <c r="N72" s="16036"/>
      <c r="O72" s="16036"/>
      <c r="P72" s="16036"/>
      <c r="Q72" s="16036"/>
      <c r="R72" s="16036"/>
      <c r="S72" s="16036"/>
      <c r="T72" s="16036"/>
      <c r="U72" s="16036"/>
      <c r="V72" s="16036"/>
      <c r="W72" s="16036"/>
    </row>
    <row r="73" spans="1:43" s="14385" customFormat="1" ht="11.25" hidden="1" customHeight="1">
      <c r="A73" s="195"/>
      <c r="B73" s="195"/>
      <c r="Y73" s="1142"/>
      <c r="Z73" s="1142"/>
      <c r="AA73" s="1142"/>
      <c r="AB73" s="1142"/>
      <c r="AC73" s="1142"/>
      <c r="AD73" s="1142"/>
      <c r="AE73" s="1142"/>
      <c r="AF73" s="1142"/>
      <c r="AG73" s="1142"/>
      <c r="AH73" s="1142"/>
      <c r="AI73" s="1142"/>
      <c r="AJ73" s="1142"/>
      <c r="AK73" s="1142"/>
      <c r="AL73" s="1142"/>
      <c r="AM73" s="1142"/>
      <c r="AN73" s="1142"/>
      <c r="AO73" s="1142"/>
      <c r="AP73" s="1142"/>
      <c r="AQ73" s="1142"/>
    </row>
    <row r="74" spans="1:43" s="14385" customFormat="1" ht="17.25" hidden="1" customHeight="1">
      <c r="A74" s="238"/>
      <c r="C74" s="131"/>
      <c r="D74" s="16000">
        <v>1</v>
      </c>
      <c r="E74" s="16008" t="s">
        <v>253</v>
      </c>
      <c r="F74" s="16010" t="s">
        <v>56</v>
      </c>
      <c r="G74" s="16008"/>
      <c r="H74" s="16013"/>
      <c r="I74" s="16015"/>
      <c r="J74" s="16017"/>
      <c r="K74" s="16002"/>
      <c r="L74" s="16002"/>
      <c r="M74" s="16002"/>
      <c r="N74" s="16004"/>
      <c r="O74" s="16002"/>
      <c r="P74" s="16002"/>
      <c r="Q74" s="16002"/>
      <c r="R74" s="16007"/>
      <c r="S74" s="16002"/>
      <c r="T74" s="1342"/>
      <c r="U74" s="1342"/>
      <c r="V74" s="1344"/>
      <c r="W74" s="1176"/>
      <c r="Y74" s="1149"/>
      <c r="Z74" s="1149"/>
      <c r="AA74" s="1149"/>
      <c r="AB74" s="1149"/>
      <c r="AC74" s="1149" t="s">
        <v>254</v>
      </c>
      <c r="AD74" s="1149" t="s">
        <v>255</v>
      </c>
      <c r="AE74" s="1149" t="s">
        <v>256</v>
      </c>
      <c r="AF74" s="1149" t="s">
        <v>257</v>
      </c>
      <c r="AG74" s="1149"/>
      <c r="AH74" s="1149" t="str">
        <f>IF($E$74=0,"",$E$74)</f>
        <v>Тариф на питьевую воду (питьевое водоснабжение)</v>
      </c>
      <c r="AI74" s="1149" t="str">
        <f>IF($G$74=0,"",$G$74)</f>
        <v/>
      </c>
      <c r="AJ74" s="1149" t="str">
        <f>IF($J$74=0,"",$J$74)</f>
        <v/>
      </c>
      <c r="AK74" s="1149" t="str">
        <f>IF($K$74="нет","без дифференциации",IF($N$74=0,"",$N$74))</f>
        <v/>
      </c>
      <c r="AL74" s="1149" t="str">
        <f>IF($O$74="нет","без дифференциации",IF($R$74=0,"",$R$74))</f>
        <v/>
      </c>
      <c r="AM74" s="1149" t="str">
        <f>IF($S$74="нет","без дифференциации",IF($V$74=0,"",$V$74))</f>
        <v/>
      </c>
      <c r="AN74" s="1149">
        <f>$I$74</f>
        <v>0</v>
      </c>
      <c r="AO74" s="1149" t="str">
        <f>$I$74&amp;"."&amp;$M$74</f>
        <v>.</v>
      </c>
      <c r="AP74" s="1149" t="str">
        <f>$I$74&amp;"."&amp;$M$74&amp;"."&amp;$Q$74</f>
        <v>..</v>
      </c>
      <c r="AQ74" s="1149" t="str">
        <f>$I$74&amp;"."&amp;$M$74&amp;"."&amp;$Q$74&amp;"."&amp;$U$74</f>
        <v>...</v>
      </c>
    </row>
    <row r="75" spans="1:43" s="14385" customFormat="1" ht="17.25" hidden="1" customHeight="1">
      <c r="A75" s="238"/>
      <c r="C75" s="237"/>
      <c r="D75" s="16000"/>
      <c r="E75" s="16008"/>
      <c r="F75" s="16011"/>
      <c r="G75" s="16008"/>
      <c r="H75" s="16014"/>
      <c r="I75" s="16016"/>
      <c r="J75" s="16018"/>
      <c r="K75" s="16003"/>
      <c r="L75" s="16003"/>
      <c r="M75" s="16003"/>
      <c r="N75" s="16005"/>
      <c r="O75" s="16003"/>
      <c r="P75" s="16003"/>
      <c r="Q75" s="16003"/>
      <c r="R75" s="16006"/>
      <c r="S75" s="16003"/>
      <c r="T75" s="1177"/>
      <c r="U75" s="1177"/>
      <c r="V75" s="1177"/>
      <c r="W75" s="1178"/>
      <c r="Y75" s="1142"/>
      <c r="Z75" s="1142"/>
      <c r="AA75" s="1142"/>
      <c r="AB75" s="1142"/>
      <c r="AC75" s="1142"/>
      <c r="AD75" s="1142"/>
      <c r="AE75" s="1142"/>
      <c r="AF75" s="1142"/>
      <c r="AG75" s="1142"/>
      <c r="AH75" s="1142"/>
      <c r="AI75" s="1142"/>
      <c r="AJ75" s="1142"/>
      <c r="AK75" s="1142"/>
      <c r="AL75" s="1142"/>
      <c r="AM75" s="1142"/>
      <c r="AN75" s="1142"/>
      <c r="AO75" s="1142"/>
      <c r="AP75" s="1142"/>
      <c r="AQ75" s="1142"/>
    </row>
    <row r="76" spans="1:43" s="14386" customFormat="1" ht="17.25" hidden="1" customHeight="1">
      <c r="A76" s="238"/>
      <c r="C76" s="131"/>
      <c r="D76" s="16000"/>
      <c r="E76" s="16008"/>
      <c r="F76" s="16011"/>
      <c r="G76" s="16008"/>
      <c r="H76" s="16014"/>
      <c r="I76" s="16016"/>
      <c r="J76" s="16019"/>
      <c r="K76" s="16003"/>
      <c r="L76" s="16003"/>
      <c r="M76" s="16003"/>
      <c r="N76" s="16006"/>
      <c r="O76" s="16003"/>
      <c r="P76" s="1343"/>
      <c r="Q76" s="1177"/>
      <c r="R76" s="1177"/>
      <c r="S76" s="246"/>
      <c r="T76" s="246"/>
      <c r="U76" s="246"/>
      <c r="V76" s="246"/>
      <c r="W76" s="1178"/>
      <c r="Y76" s="1149"/>
      <c r="Z76" s="1149"/>
      <c r="AA76" s="1149"/>
      <c r="AB76" s="1149"/>
      <c r="AC76" s="1149"/>
      <c r="AD76" s="1149"/>
      <c r="AE76" s="1149"/>
      <c r="AF76" s="1149"/>
      <c r="AG76" s="1149"/>
      <c r="AH76" s="1149"/>
      <c r="AI76" s="1149"/>
      <c r="AJ76" s="1149"/>
      <c r="AK76" s="1149"/>
      <c r="AL76" s="1149"/>
      <c r="AM76" s="1149"/>
      <c r="AN76" s="1149"/>
      <c r="AO76" s="1149"/>
      <c r="AP76" s="1149"/>
      <c r="AQ76" s="1149"/>
    </row>
    <row r="77" spans="1:43" s="14386" customFormat="1" ht="17.25" hidden="1" customHeight="1">
      <c r="A77" s="238"/>
      <c r="C77" s="237"/>
      <c r="D77" s="16000"/>
      <c r="E77" s="16008"/>
      <c r="F77" s="16011"/>
      <c r="G77" s="16008"/>
      <c r="H77" s="16014"/>
      <c r="I77" s="16016"/>
      <c r="J77" s="16019"/>
      <c r="K77" s="16003"/>
      <c r="L77" s="1177"/>
      <c r="M77" s="1177"/>
      <c r="N77" s="1177"/>
      <c r="O77" s="1177"/>
      <c r="P77" s="1177"/>
      <c r="Q77" s="1177"/>
      <c r="R77" s="1177"/>
      <c r="S77" s="246"/>
      <c r="T77" s="246"/>
      <c r="U77" s="246"/>
      <c r="V77" s="246"/>
      <c r="W77" s="1178"/>
      <c r="Y77" s="1142"/>
      <c r="Z77" s="1142"/>
      <c r="AA77" s="1142"/>
      <c r="AB77" s="1142"/>
      <c r="AC77" s="1142"/>
      <c r="AD77" s="1142"/>
      <c r="AE77" s="1142"/>
      <c r="AF77" s="1142"/>
      <c r="AG77" s="1142"/>
      <c r="AH77" s="1142"/>
      <c r="AI77" s="1142"/>
      <c r="AJ77" s="1142"/>
      <c r="AK77" s="1142"/>
      <c r="AL77" s="1142"/>
      <c r="AM77" s="1142"/>
      <c r="AN77" s="1142"/>
      <c r="AO77" s="1142"/>
      <c r="AP77" s="1142"/>
      <c r="AQ77" s="1142"/>
    </row>
    <row r="78" spans="1:43" s="14385" customFormat="1" ht="17.25" hidden="1" customHeight="1">
      <c r="A78" s="238"/>
      <c r="C78" s="237"/>
      <c r="D78" s="16001"/>
      <c r="E78" s="16009"/>
      <c r="F78" s="16012"/>
      <c r="G78" s="16009"/>
      <c r="H78" s="1179"/>
      <c r="I78" s="1180"/>
      <c r="J78" s="1180"/>
      <c r="K78" s="1180"/>
      <c r="L78" s="1180"/>
      <c r="M78" s="1180"/>
      <c r="N78" s="1180"/>
      <c r="O78" s="1180"/>
      <c r="P78" s="1180"/>
      <c r="Q78" s="1180"/>
      <c r="R78" s="1180"/>
      <c r="S78" s="1181"/>
      <c r="T78" s="1181"/>
      <c r="U78" s="1181"/>
      <c r="V78" s="1181"/>
      <c r="W78" s="1182"/>
      <c r="Y78" s="1142"/>
      <c r="Z78" s="1142"/>
      <c r="AA78" s="1142"/>
      <c r="AB78" s="1142"/>
      <c r="AC78" s="1142"/>
      <c r="AD78" s="1142"/>
      <c r="AE78" s="1142"/>
      <c r="AF78" s="1142"/>
      <c r="AG78" s="1142"/>
      <c r="AH78" s="1142"/>
      <c r="AI78" s="1142"/>
      <c r="AJ78" s="1142"/>
      <c r="AK78" s="1142"/>
      <c r="AL78" s="1142"/>
      <c r="AM78" s="1142"/>
      <c r="AN78" s="1142"/>
      <c r="AO78" s="1142"/>
      <c r="AP78" s="1142"/>
      <c r="AQ78" s="1142"/>
    </row>
    <row r="79" spans="1:43" s="14385" customFormat="1" ht="17.25" hidden="1" customHeight="1">
      <c r="A79" s="238"/>
      <c r="C79" s="131"/>
      <c r="D79" s="16000">
        <v>2</v>
      </c>
      <c r="E79" s="16008" t="s">
        <v>258</v>
      </c>
      <c r="F79" s="16010" t="s">
        <v>56</v>
      </c>
      <c r="G79" s="16008"/>
      <c r="H79" s="16013"/>
      <c r="I79" s="16015"/>
      <c r="J79" s="16017"/>
      <c r="K79" s="16002"/>
      <c r="L79" s="16002"/>
      <c r="M79" s="16002"/>
      <c r="N79" s="16004"/>
      <c r="O79" s="16002"/>
      <c r="P79" s="16002"/>
      <c r="Q79" s="16002"/>
      <c r="R79" s="16007"/>
      <c r="S79" s="16002"/>
      <c r="T79" s="1318"/>
      <c r="U79" s="1318"/>
      <c r="V79" s="1320"/>
      <c r="W79" s="1176"/>
      <c r="X79" s="1149"/>
      <c r="Y79" s="1149"/>
      <c r="Z79" s="1149"/>
      <c r="AA79" s="1149"/>
      <c r="AB79" s="1149"/>
      <c r="AC79" s="1149" t="s">
        <v>259</v>
      </c>
      <c r="AD79" s="1149" t="s">
        <v>260</v>
      </c>
      <c r="AE79" s="1149" t="s">
        <v>261</v>
      </c>
      <c r="AF79" s="1149" t="s">
        <v>262</v>
      </c>
      <c r="AG79" s="1149"/>
      <c r="AH79" s="1149" t="str">
        <f>IF($E$79=0,"",$E$79)</f>
        <v>Тариф на техническую воду</v>
      </c>
      <c r="AI79" s="1149" t="str">
        <f>IF($G$79=0,"",$G$79)</f>
        <v/>
      </c>
      <c r="AJ79" s="1149" t="str">
        <f>IF($J$79=0,"",$J$79)</f>
        <v/>
      </c>
      <c r="AK79" s="1149" t="str">
        <f>IF($K$79="нет","без дифференциации",IF($N$79=0,"",$N$79))</f>
        <v/>
      </c>
      <c r="AL79" s="1149" t="str">
        <f>IF($O$79="нет","без дифференциации",IF($R$79=0,"",$R$79))</f>
        <v/>
      </c>
      <c r="AM79" s="1149" t="str">
        <f>IF($S$79="нет","без дифференциации",IF($V$79=0,"",$V$79))</f>
        <v/>
      </c>
      <c r="AN79" s="1634">
        <f>$I$79</f>
        <v>0</v>
      </c>
      <c r="AO79" s="1149" t="str">
        <f>$I$79&amp;"."&amp;$M$79</f>
        <v>.</v>
      </c>
      <c r="AP79" s="1142" t="str">
        <f>$I$79&amp;"."&amp;$M$79&amp;"."&amp;$Q$79</f>
        <v>..</v>
      </c>
      <c r="AQ79" s="1142" t="str">
        <f>$I$79&amp;"."&amp;$M$79&amp;"."&amp;$Q$79&amp;"."&amp;$U$79</f>
        <v>...</v>
      </c>
    </row>
    <row r="80" spans="1:43" s="14385" customFormat="1" ht="17.25" hidden="1" customHeight="1">
      <c r="A80" s="238"/>
      <c r="C80" s="237"/>
      <c r="D80" s="16000"/>
      <c r="E80" s="16008"/>
      <c r="F80" s="16011"/>
      <c r="G80" s="16008"/>
      <c r="H80" s="16014"/>
      <c r="I80" s="16016"/>
      <c r="J80" s="16018"/>
      <c r="K80" s="16003"/>
      <c r="L80" s="16003"/>
      <c r="M80" s="16003"/>
      <c r="N80" s="16005"/>
      <c r="O80" s="16003"/>
      <c r="P80" s="16003"/>
      <c r="Q80" s="16003"/>
      <c r="R80" s="16006"/>
      <c r="S80" s="16003"/>
      <c r="T80" s="1177"/>
      <c r="U80" s="1177"/>
      <c r="V80" s="1177"/>
      <c r="W80" s="1178"/>
      <c r="X80" s="1142"/>
      <c r="Y80" s="1142"/>
      <c r="Z80" s="1142"/>
      <c r="AA80" s="1142"/>
      <c r="AB80" s="1142"/>
      <c r="AC80" s="1142"/>
      <c r="AD80" s="1142"/>
      <c r="AE80" s="1142"/>
      <c r="AF80" s="1142"/>
      <c r="AG80" s="1142"/>
      <c r="AH80" s="1142"/>
      <c r="AI80" s="1142"/>
      <c r="AJ80" s="1142"/>
      <c r="AK80" s="1142"/>
      <c r="AL80" s="1142"/>
      <c r="AM80" s="1142"/>
      <c r="AN80" s="1142"/>
      <c r="AO80" s="1142"/>
      <c r="AP80" s="1142"/>
      <c r="AQ80" s="1142"/>
    </row>
    <row r="81" spans="1:43" s="14385" customFormat="1" ht="17.25" hidden="1" customHeight="1">
      <c r="A81" s="238"/>
      <c r="C81" s="237"/>
      <c r="D81" s="16001"/>
      <c r="E81" s="16009"/>
      <c r="F81" s="16011"/>
      <c r="G81" s="16009"/>
      <c r="H81" s="16014"/>
      <c r="I81" s="16016"/>
      <c r="J81" s="16019"/>
      <c r="K81" s="16003"/>
      <c r="L81" s="16003"/>
      <c r="M81" s="16003"/>
      <c r="N81" s="16006"/>
      <c r="O81" s="16003"/>
      <c r="P81" s="1319"/>
      <c r="Q81" s="1177"/>
      <c r="R81" s="1177"/>
      <c r="S81" s="246"/>
      <c r="T81" s="246"/>
      <c r="U81" s="246"/>
      <c r="V81" s="246"/>
      <c r="W81" s="1178"/>
      <c r="X81" s="1142"/>
      <c r="Y81" s="1142"/>
      <c r="Z81" s="1142"/>
      <c r="AA81" s="1142"/>
      <c r="AB81" s="1142"/>
      <c r="AC81" s="1142"/>
      <c r="AD81" s="1142"/>
      <c r="AE81" s="1142"/>
      <c r="AF81" s="1142"/>
      <c r="AG81" s="1142"/>
      <c r="AH81" s="1142"/>
      <c r="AI81" s="1142"/>
      <c r="AJ81" s="1142"/>
      <c r="AK81" s="1142"/>
      <c r="AL81" s="1142"/>
      <c r="AM81" s="1142"/>
      <c r="AN81" s="1142"/>
      <c r="AO81" s="1142"/>
      <c r="AP81" s="1142"/>
      <c r="AQ81" s="1142"/>
    </row>
    <row r="82" spans="1:43" s="14385" customFormat="1" ht="17.25" hidden="1" customHeight="1">
      <c r="A82" s="238"/>
      <c r="C82" s="237"/>
      <c r="D82" s="16001"/>
      <c r="E82" s="16009"/>
      <c r="F82" s="16011"/>
      <c r="G82" s="16009"/>
      <c r="H82" s="16014"/>
      <c r="I82" s="16016"/>
      <c r="J82" s="16019"/>
      <c r="K82" s="16003"/>
      <c r="L82" s="1177"/>
      <c r="M82" s="1177"/>
      <c r="N82" s="1177"/>
      <c r="O82" s="1177"/>
      <c r="P82" s="1177"/>
      <c r="Q82" s="1177"/>
      <c r="R82" s="1177"/>
      <c r="S82" s="246"/>
      <c r="T82" s="246"/>
      <c r="U82" s="246"/>
      <c r="V82" s="246"/>
      <c r="W82" s="1178"/>
      <c r="X82" s="1142"/>
      <c r="Y82" s="1142"/>
      <c r="Z82" s="1142"/>
      <c r="AA82" s="1142"/>
      <c r="AB82" s="1142"/>
      <c r="AC82" s="1142"/>
      <c r="AD82" s="1142"/>
      <c r="AE82" s="1142"/>
      <c r="AF82" s="1142"/>
      <c r="AG82" s="1142"/>
      <c r="AH82" s="1142"/>
      <c r="AI82" s="1142"/>
      <c r="AJ82" s="1142"/>
      <c r="AK82" s="1142"/>
      <c r="AL82" s="1142"/>
      <c r="AM82" s="1142"/>
      <c r="AN82" s="1142"/>
      <c r="AO82" s="1142"/>
      <c r="AP82" s="1142"/>
      <c r="AQ82" s="1142"/>
    </row>
    <row r="83" spans="1:43" s="14385" customFormat="1" ht="17.25" hidden="1" customHeight="1">
      <c r="A83" s="238"/>
      <c r="C83" s="237"/>
      <c r="D83" s="16001"/>
      <c r="E83" s="16009"/>
      <c r="F83" s="16012"/>
      <c r="G83" s="16009"/>
      <c r="H83" s="1179"/>
      <c r="I83" s="1180"/>
      <c r="J83" s="1180"/>
      <c r="K83" s="1180"/>
      <c r="L83" s="1180"/>
      <c r="M83" s="1180"/>
      <c r="N83" s="1180"/>
      <c r="O83" s="1180"/>
      <c r="P83" s="1180"/>
      <c r="Q83" s="1180"/>
      <c r="R83" s="1180"/>
      <c r="S83" s="1181"/>
      <c r="T83" s="1181"/>
      <c r="U83" s="1181"/>
      <c r="V83" s="1181"/>
      <c r="W83" s="1182"/>
      <c r="X83" s="1142"/>
      <c r="Y83" s="1142"/>
      <c r="Z83" s="1142"/>
      <c r="AA83" s="1142"/>
      <c r="AB83" s="1142"/>
      <c r="AC83" s="1142"/>
      <c r="AD83" s="1142"/>
      <c r="AE83" s="1142"/>
      <c r="AF83" s="1142"/>
      <c r="AG83" s="1142"/>
      <c r="AH83" s="1142"/>
      <c r="AI83" s="1142"/>
      <c r="AJ83" s="1142"/>
      <c r="AK83" s="1142"/>
      <c r="AL83" s="1142"/>
      <c r="AM83" s="1142"/>
      <c r="AN83" s="1142"/>
      <c r="AO83" s="1142"/>
      <c r="AP83" s="1142"/>
      <c r="AQ83" s="1142"/>
    </row>
    <row r="84" spans="1:43" s="14385" customFormat="1" ht="17.25" hidden="1" customHeight="1">
      <c r="A84" s="238"/>
      <c r="C84" s="131"/>
      <c r="D84" s="16000">
        <v>3</v>
      </c>
      <c r="E84" s="16008" t="s">
        <v>263</v>
      </c>
      <c r="F84" s="16010" t="s">
        <v>56</v>
      </c>
      <c r="G84" s="16008"/>
      <c r="H84" s="16013"/>
      <c r="I84" s="16015"/>
      <c r="J84" s="16017"/>
      <c r="K84" s="16002"/>
      <c r="L84" s="16002"/>
      <c r="M84" s="16002"/>
      <c r="N84" s="16004"/>
      <c r="O84" s="16002"/>
      <c r="P84" s="16002"/>
      <c r="Q84" s="16002"/>
      <c r="R84" s="16007"/>
      <c r="S84" s="16002"/>
      <c r="T84" s="1318"/>
      <c r="U84" s="1318"/>
      <c r="V84" s="1320"/>
      <c r="W84" s="1176"/>
      <c r="X84" s="1149"/>
      <c r="Y84" s="1149"/>
      <c r="Z84" s="1149"/>
      <c r="AA84" s="1149"/>
      <c r="AB84" s="1149"/>
      <c r="AC84" s="1149" t="s">
        <v>264</v>
      </c>
      <c r="AD84" s="1149" t="s">
        <v>265</v>
      </c>
      <c r="AE84" s="1149" t="s">
        <v>266</v>
      </c>
      <c r="AF84" s="1149" t="s">
        <v>267</v>
      </c>
      <c r="AG84" s="1149"/>
      <c r="AH84" s="1149" t="str">
        <f>IF($E$84=0,"",$E$84)</f>
        <v>Тариф на транспортировку воды</v>
      </c>
      <c r="AI84" s="1149" t="str">
        <f>IF($G$84=0,"",$G$84)</f>
        <v/>
      </c>
      <c r="AJ84" s="1149" t="str">
        <f>IF($J$84=0,"",$J$84)</f>
        <v/>
      </c>
      <c r="AK84" s="1149" t="str">
        <f>IF($K$84="нет","без дифференциации",IF($N$84=0,"",$N$84))</f>
        <v/>
      </c>
      <c r="AL84" s="1149" t="str">
        <f>IF($O$84="нет","без дифференциации",IF($R$84=0,"",$R$84))</f>
        <v/>
      </c>
      <c r="AM84" s="1149" t="str">
        <f>IF($S$84="нет","без дифференциации",IF($V$84=0,"",$V$84))</f>
        <v/>
      </c>
      <c r="AN84" s="1634">
        <f>$I$84</f>
        <v>0</v>
      </c>
      <c r="AO84" s="1149" t="str">
        <f>$I$84&amp;"."&amp;$M$84</f>
        <v>.</v>
      </c>
      <c r="AP84" s="1142" t="str">
        <f>$I$84&amp;"."&amp;$M$84&amp;"."&amp;$Q$84</f>
        <v>..</v>
      </c>
      <c r="AQ84" s="1142" t="str">
        <f>$I$84&amp;"."&amp;$M$84&amp;"."&amp;$Q$84&amp;"."&amp;$U$84</f>
        <v>...</v>
      </c>
    </row>
    <row r="85" spans="1:43" s="14385" customFormat="1" ht="17.25" hidden="1" customHeight="1">
      <c r="A85" s="238"/>
      <c r="C85" s="237"/>
      <c r="D85" s="16000"/>
      <c r="E85" s="16008"/>
      <c r="F85" s="16011"/>
      <c r="G85" s="16008"/>
      <c r="H85" s="16014"/>
      <c r="I85" s="16016"/>
      <c r="J85" s="16018"/>
      <c r="K85" s="16003"/>
      <c r="L85" s="16003"/>
      <c r="M85" s="16003"/>
      <c r="N85" s="16005"/>
      <c r="O85" s="16003"/>
      <c r="P85" s="16003"/>
      <c r="Q85" s="16003"/>
      <c r="R85" s="16006"/>
      <c r="S85" s="16003"/>
      <c r="T85" s="1177"/>
      <c r="U85" s="1177"/>
      <c r="V85" s="1177"/>
      <c r="W85" s="1178"/>
      <c r="X85" s="1142"/>
      <c r="Y85" s="1142"/>
      <c r="Z85" s="1142"/>
      <c r="AA85" s="1142"/>
      <c r="AB85" s="1142"/>
      <c r="AC85" s="1142"/>
      <c r="AD85" s="1142"/>
      <c r="AE85" s="1142"/>
      <c r="AF85" s="1142"/>
      <c r="AG85" s="1142"/>
      <c r="AH85" s="1142"/>
      <c r="AI85" s="1142"/>
      <c r="AJ85" s="1142"/>
      <c r="AK85" s="1142"/>
      <c r="AL85" s="1142"/>
      <c r="AM85" s="1142"/>
      <c r="AN85" s="1142"/>
      <c r="AO85" s="1142"/>
      <c r="AP85" s="1142"/>
      <c r="AQ85" s="1142"/>
    </row>
    <row r="86" spans="1:43" s="14385" customFormat="1" ht="17.25" hidden="1" customHeight="1">
      <c r="A86" s="238"/>
      <c r="C86" s="237"/>
      <c r="D86" s="16001"/>
      <c r="E86" s="16009"/>
      <c r="F86" s="16011"/>
      <c r="G86" s="16009"/>
      <c r="H86" s="16014"/>
      <c r="I86" s="16016"/>
      <c r="J86" s="16019"/>
      <c r="K86" s="16003"/>
      <c r="L86" s="16003"/>
      <c r="M86" s="16003"/>
      <c r="N86" s="16006"/>
      <c r="O86" s="16003"/>
      <c r="P86" s="1319"/>
      <c r="Q86" s="1177"/>
      <c r="R86" s="1177"/>
      <c r="S86" s="246"/>
      <c r="T86" s="246"/>
      <c r="U86" s="246"/>
      <c r="V86" s="246"/>
      <c r="W86" s="1178"/>
      <c r="X86" s="1142"/>
      <c r="Y86" s="1142"/>
      <c r="Z86" s="1142"/>
      <c r="AA86" s="1142"/>
      <c r="AB86" s="1142"/>
      <c r="AC86" s="1142"/>
      <c r="AD86" s="1142"/>
      <c r="AE86" s="1142"/>
      <c r="AF86" s="1142"/>
      <c r="AG86" s="1142"/>
      <c r="AH86" s="1142"/>
      <c r="AI86" s="1142"/>
      <c r="AJ86" s="1142"/>
      <c r="AK86" s="1142"/>
      <c r="AL86" s="1142"/>
      <c r="AM86" s="1142"/>
      <c r="AN86" s="1142"/>
      <c r="AO86" s="1142"/>
      <c r="AP86" s="1142"/>
      <c r="AQ86" s="1142"/>
    </row>
    <row r="87" spans="1:43" s="14385" customFormat="1" ht="17.25" hidden="1" customHeight="1">
      <c r="A87" s="238"/>
      <c r="C87" s="237"/>
      <c r="D87" s="16001"/>
      <c r="E87" s="16009"/>
      <c r="F87" s="16011"/>
      <c r="G87" s="16009"/>
      <c r="H87" s="16014"/>
      <c r="I87" s="16016"/>
      <c r="J87" s="16019"/>
      <c r="K87" s="16003"/>
      <c r="L87" s="1177"/>
      <c r="M87" s="1177"/>
      <c r="N87" s="1177"/>
      <c r="O87" s="1177"/>
      <c r="P87" s="1177"/>
      <c r="Q87" s="1177"/>
      <c r="R87" s="1177"/>
      <c r="S87" s="246"/>
      <c r="T87" s="246"/>
      <c r="U87" s="246"/>
      <c r="V87" s="246"/>
      <c r="W87" s="1178"/>
      <c r="X87" s="1142"/>
      <c r="Y87" s="1142"/>
      <c r="Z87" s="1142"/>
      <c r="AA87" s="1142"/>
      <c r="AB87" s="1142"/>
      <c r="AC87" s="1142"/>
      <c r="AD87" s="1142"/>
      <c r="AE87" s="1142"/>
      <c r="AF87" s="1142"/>
      <c r="AG87" s="1142"/>
      <c r="AH87" s="1142"/>
      <c r="AI87" s="1142"/>
      <c r="AJ87" s="1142"/>
      <c r="AK87" s="1142"/>
      <c r="AL87" s="1142"/>
      <c r="AM87" s="1142"/>
      <c r="AN87" s="1142"/>
      <c r="AO87" s="1142"/>
      <c r="AP87" s="1142"/>
      <c r="AQ87" s="1142"/>
    </row>
    <row r="88" spans="1:43" s="14385" customFormat="1" ht="17.25" hidden="1" customHeight="1">
      <c r="A88" s="238"/>
      <c r="C88" s="237"/>
      <c r="D88" s="16001"/>
      <c r="E88" s="16009"/>
      <c r="F88" s="16012"/>
      <c r="G88" s="16009"/>
      <c r="H88" s="1179"/>
      <c r="I88" s="1180"/>
      <c r="J88" s="1180"/>
      <c r="K88" s="1180"/>
      <c r="L88" s="1180"/>
      <c r="M88" s="1180"/>
      <c r="N88" s="1180"/>
      <c r="O88" s="1180"/>
      <c r="P88" s="1180"/>
      <c r="Q88" s="1180"/>
      <c r="R88" s="1180"/>
      <c r="S88" s="1181"/>
      <c r="T88" s="1181"/>
      <c r="U88" s="1181"/>
      <c r="V88" s="1181"/>
      <c r="W88" s="1182"/>
      <c r="X88" s="1142"/>
      <c r="Y88" s="1142"/>
      <c r="Z88" s="1142"/>
      <c r="AA88" s="1142"/>
      <c r="AB88" s="1142"/>
      <c r="AC88" s="1142"/>
      <c r="AD88" s="1142"/>
      <c r="AE88" s="1142"/>
      <c r="AF88" s="1142"/>
      <c r="AG88" s="1142"/>
      <c r="AH88" s="1142"/>
      <c r="AI88" s="1142"/>
      <c r="AJ88" s="1142"/>
      <c r="AK88" s="1142"/>
      <c r="AL88" s="1142"/>
      <c r="AM88" s="1142"/>
      <c r="AN88" s="1142"/>
      <c r="AO88" s="1142"/>
      <c r="AP88" s="1142"/>
      <c r="AQ88" s="1142"/>
    </row>
    <row r="89" spans="1:43" s="14385" customFormat="1" ht="17.25" hidden="1" customHeight="1">
      <c r="A89" s="238"/>
      <c r="C89" s="131"/>
      <c r="D89" s="16000">
        <v>4</v>
      </c>
      <c r="E89" s="16008" t="s">
        <v>268</v>
      </c>
      <c r="F89" s="16010" t="s">
        <v>56</v>
      </c>
      <c r="G89" s="16008"/>
      <c r="H89" s="16013"/>
      <c r="I89" s="16015"/>
      <c r="J89" s="16017"/>
      <c r="K89" s="16002"/>
      <c r="L89" s="16002"/>
      <c r="M89" s="16002"/>
      <c r="N89" s="16004"/>
      <c r="O89" s="16002"/>
      <c r="P89" s="16002"/>
      <c r="Q89" s="16002"/>
      <c r="R89" s="16007"/>
      <c r="S89" s="16002"/>
      <c r="T89" s="1318"/>
      <c r="U89" s="1318"/>
      <c r="V89" s="1320"/>
      <c r="W89" s="1176"/>
      <c r="X89" s="1149"/>
      <c r="Y89" s="1149"/>
      <c r="Z89" s="1149"/>
      <c r="AA89" s="1149"/>
      <c r="AB89" s="1149"/>
      <c r="AC89" s="1149" t="s">
        <v>269</v>
      </c>
      <c r="AD89" s="1149" t="s">
        <v>270</v>
      </c>
      <c r="AE89" s="1149" t="s">
        <v>271</v>
      </c>
      <c r="AF89" s="1149" t="s">
        <v>272</v>
      </c>
      <c r="AG89" s="1149"/>
      <c r="AH89" s="1149" t="str">
        <f>IF($E$89=0,"",$E$89)</f>
        <v>Тариф на подвоз воды</v>
      </c>
      <c r="AI89" s="1149" t="str">
        <f>IF($G$89=0,"",$G$89)</f>
        <v/>
      </c>
      <c r="AJ89" s="1149" t="str">
        <f>IF($J$89=0,"",$J$89)</f>
        <v/>
      </c>
      <c r="AK89" s="1149" t="str">
        <f>IF($K$89="нет","без дифференциации",IF($N$89=0,"",$N$89))</f>
        <v/>
      </c>
      <c r="AL89" s="1149" t="str">
        <f>IF($O$89="нет","без дифференциации",IF($R$89=0,"",$R$89))</f>
        <v/>
      </c>
      <c r="AM89" s="1149" t="str">
        <f>IF($S$89="нет","без дифференциации",IF($V$89=0,"",$V$89))</f>
        <v/>
      </c>
      <c r="AN89" s="1634">
        <f>$I$89</f>
        <v>0</v>
      </c>
      <c r="AO89" s="1149" t="str">
        <f>$I$89&amp;"."&amp;$M$89</f>
        <v>.</v>
      </c>
      <c r="AP89" s="1142" t="str">
        <f>$I$89&amp;"."&amp;$M$89&amp;"."&amp;$Q$89</f>
        <v>..</v>
      </c>
      <c r="AQ89" s="1142" t="str">
        <f>$I$89&amp;"."&amp;$M$89&amp;"."&amp;$Q$89&amp;"."&amp;$U$89</f>
        <v>...</v>
      </c>
    </row>
    <row r="90" spans="1:43" s="14385" customFormat="1" ht="17.25" hidden="1" customHeight="1">
      <c r="A90" s="238"/>
      <c r="C90" s="237"/>
      <c r="D90" s="16000"/>
      <c r="E90" s="16008"/>
      <c r="F90" s="16011"/>
      <c r="G90" s="16008"/>
      <c r="H90" s="16014"/>
      <c r="I90" s="16016"/>
      <c r="J90" s="16018"/>
      <c r="K90" s="16003"/>
      <c r="L90" s="16003"/>
      <c r="M90" s="16003"/>
      <c r="N90" s="16005"/>
      <c r="O90" s="16003"/>
      <c r="P90" s="16003"/>
      <c r="Q90" s="16003"/>
      <c r="R90" s="16006"/>
      <c r="S90" s="16003"/>
      <c r="T90" s="1177"/>
      <c r="U90" s="1177"/>
      <c r="V90" s="1177"/>
      <c r="W90" s="1178"/>
      <c r="X90" s="1142"/>
      <c r="Y90" s="1142"/>
      <c r="Z90" s="1142"/>
      <c r="AA90" s="1142"/>
      <c r="AB90" s="1142"/>
      <c r="AC90" s="1142"/>
      <c r="AD90" s="1142"/>
      <c r="AE90" s="1142"/>
      <c r="AF90" s="1142"/>
      <c r="AG90" s="1142"/>
      <c r="AH90" s="1142"/>
      <c r="AI90" s="1142"/>
      <c r="AJ90" s="1142"/>
      <c r="AK90" s="1142"/>
      <c r="AL90" s="1142"/>
      <c r="AM90" s="1142"/>
      <c r="AN90" s="1142"/>
      <c r="AO90" s="1142"/>
      <c r="AP90" s="1142"/>
      <c r="AQ90" s="1142"/>
    </row>
    <row r="91" spans="1:43" s="14385" customFormat="1" ht="17.25" hidden="1" customHeight="1">
      <c r="A91" s="238"/>
      <c r="C91" s="237"/>
      <c r="D91" s="16001"/>
      <c r="E91" s="16009"/>
      <c r="F91" s="16011"/>
      <c r="G91" s="16009"/>
      <c r="H91" s="16014"/>
      <c r="I91" s="16016"/>
      <c r="J91" s="16019"/>
      <c r="K91" s="16003"/>
      <c r="L91" s="16003"/>
      <c r="M91" s="16003"/>
      <c r="N91" s="16006"/>
      <c r="O91" s="16003"/>
      <c r="P91" s="1319"/>
      <c r="Q91" s="1177"/>
      <c r="R91" s="1177"/>
      <c r="S91" s="246"/>
      <c r="T91" s="246"/>
      <c r="U91" s="246"/>
      <c r="V91" s="246"/>
      <c r="W91" s="1178"/>
      <c r="X91" s="1142"/>
      <c r="Y91" s="1142"/>
      <c r="Z91" s="1142"/>
      <c r="AA91" s="1142"/>
      <c r="AB91" s="1142"/>
      <c r="AC91" s="1142"/>
      <c r="AD91" s="1142"/>
      <c r="AE91" s="1142"/>
      <c r="AF91" s="1142"/>
      <c r="AG91" s="1142"/>
      <c r="AH91" s="1142"/>
      <c r="AI91" s="1142"/>
      <c r="AJ91" s="1142"/>
      <c r="AK91" s="1142"/>
      <c r="AL91" s="1142"/>
      <c r="AM91" s="1142"/>
      <c r="AN91" s="1142"/>
      <c r="AO91" s="1142"/>
      <c r="AP91" s="1142"/>
      <c r="AQ91" s="1142"/>
    </row>
    <row r="92" spans="1:43" s="14385" customFormat="1" ht="17.25" hidden="1" customHeight="1">
      <c r="A92" s="238"/>
      <c r="C92" s="237"/>
      <c r="D92" s="16001"/>
      <c r="E92" s="16009"/>
      <c r="F92" s="16011"/>
      <c r="G92" s="16009"/>
      <c r="H92" s="16014"/>
      <c r="I92" s="16016"/>
      <c r="J92" s="16019"/>
      <c r="K92" s="16003"/>
      <c r="L92" s="1177"/>
      <c r="M92" s="1177"/>
      <c r="N92" s="1177"/>
      <c r="O92" s="1177"/>
      <c r="P92" s="1177"/>
      <c r="Q92" s="1177"/>
      <c r="R92" s="1177"/>
      <c r="S92" s="246"/>
      <c r="T92" s="246"/>
      <c r="U92" s="246"/>
      <c r="V92" s="246"/>
      <c r="W92" s="1178"/>
      <c r="X92" s="1142"/>
      <c r="Y92" s="1142"/>
      <c r="Z92" s="1142"/>
      <c r="AA92" s="1142"/>
      <c r="AB92" s="1142"/>
      <c r="AC92" s="1142"/>
      <c r="AD92" s="1142"/>
      <c r="AE92" s="1142"/>
      <c r="AF92" s="1142"/>
      <c r="AG92" s="1142"/>
      <c r="AH92" s="1142"/>
      <c r="AI92" s="1142"/>
      <c r="AJ92" s="1142"/>
      <c r="AK92" s="1142"/>
      <c r="AL92" s="1142"/>
      <c r="AM92" s="1142"/>
      <c r="AN92" s="1142"/>
      <c r="AO92" s="1142"/>
      <c r="AP92" s="1142"/>
      <c r="AQ92" s="1142"/>
    </row>
    <row r="93" spans="1:43" s="14385" customFormat="1" ht="17.25" hidden="1" customHeight="1">
      <c r="A93" s="238"/>
      <c r="C93" s="237"/>
      <c r="D93" s="16001"/>
      <c r="E93" s="16009"/>
      <c r="F93" s="16012"/>
      <c r="G93" s="16009"/>
      <c r="H93" s="1179"/>
      <c r="I93" s="1180"/>
      <c r="J93" s="1180"/>
      <c r="K93" s="1180"/>
      <c r="L93" s="1180"/>
      <c r="M93" s="1180"/>
      <c r="N93" s="1180"/>
      <c r="O93" s="1180"/>
      <c r="P93" s="1180"/>
      <c r="Q93" s="1180"/>
      <c r="R93" s="1180"/>
      <c r="S93" s="1181"/>
      <c r="T93" s="1181"/>
      <c r="U93" s="1181"/>
      <c r="V93" s="1181"/>
      <c r="W93" s="1182"/>
      <c r="X93" s="1142"/>
      <c r="Y93" s="1142"/>
      <c r="Z93" s="1142"/>
      <c r="AA93" s="1142"/>
      <c r="AB93" s="1142"/>
      <c r="AC93" s="1142"/>
      <c r="AD93" s="1142"/>
      <c r="AE93" s="1142"/>
      <c r="AF93" s="1142"/>
      <c r="AG93" s="1142"/>
      <c r="AH93" s="1142"/>
      <c r="AI93" s="1142"/>
      <c r="AJ93" s="1142"/>
      <c r="AK93" s="1142"/>
      <c r="AL93" s="1142"/>
      <c r="AM93" s="1142"/>
      <c r="AN93" s="1142"/>
      <c r="AO93" s="1142"/>
      <c r="AP93" s="1142"/>
      <c r="AQ93" s="1142"/>
    </row>
    <row r="94" spans="1:43" s="14384" customFormat="1" ht="17.25" hidden="1" customHeight="1">
      <c r="A94" s="238"/>
      <c r="C94" s="131"/>
      <c r="D94" s="16000">
        <v>5</v>
      </c>
      <c r="E94" s="16008" t="s">
        <v>273</v>
      </c>
      <c r="F94" s="16010" t="s">
        <v>56</v>
      </c>
      <c r="G94" s="16008"/>
      <c r="H94" s="16013"/>
      <c r="I94" s="16015"/>
      <c r="J94" s="16017"/>
      <c r="K94" s="16002"/>
      <c r="L94" s="16002"/>
      <c r="M94" s="16002"/>
      <c r="N94" s="16004"/>
      <c r="O94" s="16002"/>
      <c r="P94" s="16002"/>
      <c r="Q94" s="16002"/>
      <c r="R94" s="16007"/>
      <c r="S94" s="16002"/>
      <c r="T94" s="1803"/>
      <c r="U94" s="1803"/>
      <c r="V94" s="1805"/>
      <c r="W94" s="1176"/>
      <c r="X94" s="1149"/>
      <c r="Y94" s="1149"/>
      <c r="Z94" s="1149"/>
      <c r="AA94" s="1149"/>
      <c r="AB94" s="1149"/>
      <c r="AC94" s="1149" t="s">
        <v>274</v>
      </c>
      <c r="AD94" s="1149" t="s">
        <v>275</v>
      </c>
      <c r="AE94" s="1149" t="s">
        <v>276</v>
      </c>
      <c r="AF94" s="1149" t="s">
        <v>277</v>
      </c>
      <c r="AG94" s="1149"/>
      <c r="AH94" s="1149" t="str">
        <f>IF($E$94=0,"",$E$94)</f>
        <v>Тариф на подключение (технологическое присоединение) к централизованной системе холодного водоснабжения</v>
      </c>
      <c r="AI94" s="1149" t="str">
        <f>IF($G$94=0,"",$G$94)</f>
        <v/>
      </c>
      <c r="AJ94" s="1149" t="str">
        <f>IF($J$94=0,"",$J$94)</f>
        <v/>
      </c>
      <c r="AK94" s="1149" t="str">
        <f>IF($K$94="нет","без дифференциации",IF($N$94=0,"",$N$94))</f>
        <v/>
      </c>
      <c r="AL94" s="1149" t="str">
        <f>IF($O$94="нет","без дифференциации",IF($R$94=0,"",$R$94))</f>
        <v/>
      </c>
      <c r="AM94" s="1149" t="str">
        <f>IF($S$94="нет","без дифференциации",IF($V$94=0,"",$V$94))</f>
        <v/>
      </c>
      <c r="AN94" s="1634">
        <f>$I$94</f>
        <v>0</v>
      </c>
      <c r="AO94" s="1149" t="str">
        <f>$I$94&amp;"."&amp;$M$94</f>
        <v>.</v>
      </c>
      <c r="AP94" s="1148" t="str">
        <f>$I$94&amp;"."&amp;$M$94&amp;"."&amp;$Q$94</f>
        <v>..</v>
      </c>
      <c r="AQ94" s="1148" t="str">
        <f>$I$94&amp;"."&amp;$M$94&amp;"."&amp;$Q$94&amp;"."&amp;$U$94</f>
        <v>...</v>
      </c>
    </row>
    <row r="95" spans="1:43" s="14384" customFormat="1" ht="17.25" hidden="1" customHeight="1">
      <c r="A95" s="238"/>
      <c r="C95" s="237"/>
      <c r="D95" s="16000"/>
      <c r="E95" s="16008"/>
      <c r="F95" s="16011"/>
      <c r="G95" s="16008"/>
      <c r="H95" s="16014"/>
      <c r="I95" s="16016"/>
      <c r="J95" s="16018"/>
      <c r="K95" s="16003"/>
      <c r="L95" s="16003"/>
      <c r="M95" s="16003"/>
      <c r="N95" s="16005"/>
      <c r="O95" s="16003"/>
      <c r="P95" s="16003"/>
      <c r="Q95" s="16003"/>
      <c r="R95" s="16006"/>
      <c r="S95" s="16003"/>
      <c r="T95" s="1808"/>
      <c r="U95" s="1808"/>
      <c r="V95" s="1808"/>
      <c r="W95" s="1809"/>
      <c r="X95" s="1148"/>
      <c r="Y95" s="1148"/>
      <c r="Z95" s="1148"/>
      <c r="AA95" s="1148"/>
      <c r="AB95" s="1148"/>
      <c r="AC95" s="1148"/>
      <c r="AD95" s="1148"/>
      <c r="AE95" s="1148"/>
      <c r="AF95" s="1148"/>
      <c r="AG95" s="1148"/>
      <c r="AH95" s="1148"/>
      <c r="AI95" s="1148"/>
      <c r="AJ95" s="1148"/>
      <c r="AK95" s="1148"/>
      <c r="AL95" s="1148"/>
      <c r="AM95" s="1148"/>
      <c r="AN95" s="1148"/>
      <c r="AO95" s="1148"/>
      <c r="AP95" s="1148"/>
      <c r="AQ95" s="1148"/>
    </row>
    <row r="96" spans="1:43" s="14384" customFormat="1" ht="17.25" hidden="1" customHeight="1">
      <c r="A96" s="238"/>
      <c r="C96" s="237"/>
      <c r="D96" s="16001"/>
      <c r="E96" s="16009"/>
      <c r="F96" s="16011"/>
      <c r="G96" s="16009"/>
      <c r="H96" s="16014"/>
      <c r="I96" s="16016"/>
      <c r="J96" s="16019"/>
      <c r="K96" s="16003"/>
      <c r="L96" s="16003"/>
      <c r="M96" s="16003"/>
      <c r="N96" s="16006"/>
      <c r="O96" s="16003"/>
      <c r="P96" s="1804"/>
      <c r="Q96" s="1808"/>
      <c r="R96" s="1808"/>
      <c r="S96" s="246"/>
      <c r="T96" s="246"/>
      <c r="U96" s="246"/>
      <c r="V96" s="246"/>
      <c r="W96" s="1809"/>
      <c r="X96" s="1148"/>
      <c r="Y96" s="1148"/>
      <c r="Z96" s="1148"/>
      <c r="AA96" s="1148"/>
      <c r="AB96" s="1148"/>
      <c r="AC96" s="1148"/>
      <c r="AD96" s="1148"/>
      <c r="AE96" s="1148"/>
      <c r="AF96" s="1148"/>
      <c r="AG96" s="1148"/>
      <c r="AH96" s="1148"/>
      <c r="AI96" s="1148"/>
      <c r="AJ96" s="1148"/>
      <c r="AK96" s="1148"/>
      <c r="AL96" s="1148"/>
      <c r="AM96" s="1148"/>
      <c r="AN96" s="1148"/>
      <c r="AO96" s="1148"/>
      <c r="AP96" s="1148"/>
      <c r="AQ96" s="1148"/>
    </row>
    <row r="97" spans="1:43" s="14384" customFormat="1" ht="17.25" hidden="1" customHeight="1">
      <c r="A97" s="238"/>
      <c r="C97" s="237"/>
      <c r="D97" s="16001"/>
      <c r="E97" s="16009"/>
      <c r="F97" s="16011"/>
      <c r="G97" s="16009"/>
      <c r="H97" s="16014"/>
      <c r="I97" s="16016"/>
      <c r="J97" s="16019"/>
      <c r="K97" s="16003"/>
      <c r="L97" s="1808"/>
      <c r="M97" s="1808"/>
      <c r="N97" s="1808"/>
      <c r="O97" s="1808"/>
      <c r="P97" s="1808"/>
      <c r="Q97" s="1808"/>
      <c r="R97" s="1808"/>
      <c r="S97" s="246"/>
      <c r="T97" s="246"/>
      <c r="U97" s="246"/>
      <c r="V97" s="246"/>
      <c r="W97" s="1809"/>
      <c r="X97" s="1148"/>
      <c r="Y97" s="1148"/>
      <c r="Z97" s="1148"/>
      <c r="AA97" s="1148"/>
      <c r="AB97" s="1148"/>
      <c r="AC97" s="1148"/>
      <c r="AD97" s="1148"/>
      <c r="AE97" s="1148"/>
      <c r="AF97" s="1148"/>
      <c r="AG97" s="1148"/>
      <c r="AH97" s="1148"/>
      <c r="AI97" s="1148"/>
      <c r="AJ97" s="1148"/>
      <c r="AK97" s="1148"/>
      <c r="AL97" s="1148"/>
      <c r="AM97" s="1148"/>
      <c r="AN97" s="1148"/>
      <c r="AO97" s="1148"/>
      <c r="AP97" s="1148"/>
      <c r="AQ97" s="1148"/>
    </row>
    <row r="98" spans="1:43" s="14384" customFormat="1" ht="17.25" hidden="1" customHeight="1">
      <c r="A98" s="238"/>
      <c r="C98" s="237"/>
      <c r="D98" s="16001"/>
      <c r="E98" s="16009"/>
      <c r="F98" s="16012"/>
      <c r="G98" s="16009"/>
      <c r="H98" s="1179"/>
      <c r="I98" s="1806"/>
      <c r="J98" s="1806"/>
      <c r="K98" s="1806"/>
      <c r="L98" s="1806"/>
      <c r="M98" s="1806"/>
      <c r="N98" s="1806"/>
      <c r="O98" s="1806"/>
      <c r="P98" s="1806"/>
      <c r="Q98" s="1806"/>
      <c r="R98" s="1806"/>
      <c r="S98" s="1181"/>
      <c r="T98" s="1181"/>
      <c r="U98" s="1181"/>
      <c r="V98" s="1181"/>
      <c r="W98" s="1807"/>
      <c r="X98" s="1148"/>
      <c r="Y98" s="1148"/>
      <c r="Z98" s="1148"/>
      <c r="AA98" s="1148"/>
      <c r="AB98" s="1148"/>
      <c r="AC98" s="1148"/>
      <c r="AD98" s="1148"/>
      <c r="AE98" s="1148"/>
      <c r="AF98" s="1148"/>
      <c r="AG98" s="1148"/>
      <c r="AH98" s="1148"/>
      <c r="AI98" s="1148"/>
      <c r="AJ98" s="1148"/>
      <c r="AK98" s="1148"/>
      <c r="AL98" s="1148"/>
      <c r="AM98" s="1148"/>
      <c r="AN98" s="1148"/>
      <c r="AO98" s="1148"/>
      <c r="AP98" s="1148"/>
      <c r="AQ98" s="1148"/>
    </row>
    <row r="99" spans="1:43" s="14384" customFormat="1" ht="11.25" hidden="1" customHeight="1">
      <c r="A99" s="195"/>
      <c r="B99" s="195"/>
      <c r="Y99" s="1142"/>
      <c r="Z99" s="1142"/>
      <c r="AA99" s="1142"/>
      <c r="AB99" s="1142"/>
      <c r="AC99" s="1142"/>
      <c r="AD99" s="1142"/>
      <c r="AE99" s="1142"/>
      <c r="AF99" s="1142"/>
      <c r="AG99" s="1142"/>
      <c r="AH99" s="1142"/>
      <c r="AI99" s="1142"/>
      <c r="AJ99" s="1142"/>
      <c r="AK99" s="1142"/>
      <c r="AL99" s="1142"/>
      <c r="AM99" s="1142"/>
      <c r="AN99" s="1142"/>
      <c r="AO99" s="1142"/>
      <c r="AP99" s="1142"/>
      <c r="AQ99" s="1142"/>
    </row>
    <row r="100" spans="1:43" s="14384" customFormat="1" ht="17.25" customHeight="1">
      <c r="A100" s="238"/>
      <c r="C100" s="131"/>
      <c r="D100" s="16000">
        <v>1</v>
      </c>
      <c r="E100" s="16008" t="s">
        <v>278</v>
      </c>
      <c r="F100" s="16010" t="s">
        <v>66</v>
      </c>
      <c r="G100" s="16040" t="str">
        <f>INDEX(HOTVSNA_PT_VED_NAME,MATCH(4189706,HOTVSNA_PT_VED_ID,0))</f>
        <v>Горячее водоснабжение</v>
      </c>
      <c r="H100" s="16047"/>
      <c r="I100" s="16047">
        <v>1</v>
      </c>
      <c r="J100" s="16043" t="s">
        <v>279</v>
      </c>
      <c r="K100" s="16044" t="s">
        <v>66</v>
      </c>
      <c r="L100" s="15974"/>
      <c r="M100" s="15974" t="s">
        <v>147</v>
      </c>
      <c r="N100" s="16051" t="str">
        <f>IF(Z100="","",INDEX(TERRITORY_MR_LIST,MATCH(Z100,TERRITORY_LIST_ID,0)))</f>
        <v>Территория 1</v>
      </c>
      <c r="O100" s="16044" t="s">
        <v>66</v>
      </c>
      <c r="P100" s="15974"/>
      <c r="Q100" s="15974" t="s">
        <v>147</v>
      </c>
      <c r="R100" s="16046" t="s">
        <v>280</v>
      </c>
      <c r="S100" s="16050" t="s">
        <v>56</v>
      </c>
      <c r="T100" s="1850"/>
      <c r="U100" s="1850" t="s">
        <v>147</v>
      </c>
      <c r="V100" s="1851"/>
      <c r="W100" s="16043" t="s">
        <v>281</v>
      </c>
      <c r="Y100" s="1149"/>
      <c r="Z100" s="1149" t="s">
        <v>97</v>
      </c>
      <c r="AA100" s="1149"/>
      <c r="AB100" s="1149" t="s">
        <v>282</v>
      </c>
      <c r="AC100" s="1149" t="s">
        <v>283</v>
      </c>
      <c r="AD100" s="1149" t="s">
        <v>284</v>
      </c>
      <c r="AE100" s="1149" t="s">
        <v>285</v>
      </c>
      <c r="AF100" s="1149" t="s">
        <v>286</v>
      </c>
      <c r="AG100" s="1149"/>
      <c r="AH100" s="1149" t="str">
        <f>IF($E$100=0,"",$E$100)</f>
        <v>Тариф на горячую воду (горячее водоснабжение)</v>
      </c>
      <c r="AI100" s="1149" t="str">
        <f>IF($G$100=0,"",$G$100)</f>
        <v>Горячее водоснабжение</v>
      </c>
      <c r="AJ100" s="1149" t="str">
        <f>IF($J$100=0,"",$J$100)</f>
        <v>Тариф на горячую воду в закрытой системе горячего водоснабжения, поставляемую группе потребителей "население"</v>
      </c>
      <c r="AK100" s="1149" t="str">
        <f>IF($K$100="нет","без дифференциации",IF($N$100=0,"",$N$100))</f>
        <v>Территория 1</v>
      </c>
      <c r="AL100" s="1149" t="str">
        <f>IF($O$100="нет","без дифференциации",IF($R$100=0,"",$R$100))</f>
        <v>городской округ город-герой Мурманск (р-н Росляково)</v>
      </c>
      <c r="AM100" s="1149" t="str">
        <f>IF($S$100="нет","без дифференциации",IF($V$100=0,"",$V$100))</f>
        <v>без дифференциации</v>
      </c>
      <c r="AN100" s="1149">
        <f>$I$100</f>
        <v>1</v>
      </c>
      <c r="AO100" s="1149" t="str">
        <f>$I$100&amp;"."&amp;$M$100</f>
        <v>1.1</v>
      </c>
      <c r="AP100" s="1149" t="str">
        <f>$I$100&amp;"."&amp;$M$100&amp;"."&amp;$Q$100</f>
        <v>1.1.1</v>
      </c>
      <c r="AQ100" s="1149" t="str">
        <f>$I$100&amp;"."&amp;$M$100&amp;"."&amp;$Q$100&amp;"."&amp;$U$100</f>
        <v>1.1.1.1</v>
      </c>
    </row>
    <row r="101" spans="1:43" s="14384" customFormat="1" ht="17.25" customHeight="1">
      <c r="A101" s="238"/>
      <c r="C101" s="237"/>
      <c r="D101" s="16000"/>
      <c r="E101" s="16008"/>
      <c r="F101" s="16011"/>
      <c r="G101" s="16040"/>
      <c r="H101" s="16047"/>
      <c r="I101" s="16047"/>
      <c r="J101" s="16043"/>
      <c r="K101" s="16045"/>
      <c r="L101" s="15974"/>
      <c r="M101" s="15974"/>
      <c r="N101" s="16051"/>
      <c r="O101" s="16045"/>
      <c r="P101" s="15974"/>
      <c r="Q101" s="15974"/>
      <c r="R101" s="16046"/>
      <c r="S101" s="16050"/>
      <c r="T101" s="1852"/>
      <c r="U101" s="1853"/>
      <c r="V101" s="1853"/>
      <c r="W101" s="16043"/>
      <c r="Y101" s="1142"/>
      <c r="Z101" s="1142"/>
      <c r="AA101" s="1142"/>
      <c r="AB101" s="1142"/>
      <c r="AC101" s="1142"/>
      <c r="AD101" s="1142"/>
      <c r="AE101" s="1142"/>
      <c r="AF101" s="1142"/>
      <c r="AG101" s="1142"/>
      <c r="AH101" s="1142"/>
      <c r="AI101" s="1142"/>
      <c r="AJ101" s="1142"/>
      <c r="AK101" s="1142"/>
      <c r="AL101" s="1142"/>
      <c r="AM101" s="1142"/>
      <c r="AN101" s="1142"/>
      <c r="AO101" s="1142"/>
      <c r="AP101" s="1142"/>
      <c r="AQ101" s="1142"/>
    </row>
    <row r="102" spans="1:43" ht="17.25" customHeight="1">
      <c r="A102" s="1700"/>
      <c r="B102" s="1854"/>
      <c r="C102" s="1702"/>
      <c r="D102" s="16038"/>
      <c r="E102" s="16039"/>
      <c r="F102" s="16011"/>
      <c r="G102" s="16041"/>
      <c r="H102" s="16038"/>
      <c r="I102" s="16038"/>
      <c r="J102" s="16048"/>
      <c r="K102" s="16041"/>
      <c r="L102" s="16038"/>
      <c r="M102" s="16038"/>
      <c r="N102" s="16052"/>
      <c r="O102" s="16045"/>
      <c r="P102" s="15974" t="s">
        <v>103</v>
      </c>
      <c r="Q102" s="15974" t="s">
        <v>102</v>
      </c>
      <c r="R102" s="16046" t="s">
        <v>287</v>
      </c>
      <c r="S102" s="16050" t="s">
        <v>56</v>
      </c>
      <c r="T102" s="1664"/>
      <c r="U102" s="1664" t="s">
        <v>147</v>
      </c>
      <c r="V102" s="1310"/>
      <c r="W102" s="16043" t="s">
        <v>281</v>
      </c>
      <c r="X102" s="1854"/>
      <c r="Y102" s="1149"/>
      <c r="Z102" s="1149"/>
      <c r="AA102" s="1149"/>
      <c r="AB102" s="1149"/>
      <c r="AC102" s="1855" t="s">
        <v>283</v>
      </c>
      <c r="AD102" s="1855" t="s">
        <v>284</v>
      </c>
      <c r="AE102" s="1855" t="s">
        <v>285</v>
      </c>
      <c r="AF102" s="1149" t="s">
        <v>288</v>
      </c>
      <c r="AG102" s="1149" t="s">
        <v>289</v>
      </c>
      <c r="AH102" s="1149" t="str">
        <f>IF($E$100=0,"",$E$100)</f>
        <v>Тариф на горячую воду (горячее водоснабжение)</v>
      </c>
      <c r="AI102" s="1149" t="str">
        <f>IF($G$100=0,"",$G$100)</f>
        <v>Горячее водоснабжение</v>
      </c>
      <c r="AJ102" s="1149" t="str">
        <f>IF($J$100=0,"",$J$100)</f>
        <v>Тариф на горячую воду в закрытой системе горячего водоснабжения, поставляемую группе потребителей "население"</v>
      </c>
      <c r="AK102" s="1149" t="str">
        <f>IF($K$100="нет","без дифференциации",IF($N$100=0,"",$N$100))</f>
        <v>Территория 1</v>
      </c>
      <c r="AL102" s="1704" t="str">
        <f>IF($O$102="нет","без дифференциации",IF($R$102=0,"",$R$102))</f>
        <v>городской округ город-герой Мурманск (потребители котельной ул. Фестивальная)</v>
      </c>
      <c r="AM102" s="1704"/>
      <c r="AN102" s="1149">
        <f>$I$100</f>
        <v>1</v>
      </c>
      <c r="AO102" s="1149" t="str">
        <f>$I$100&amp;"."&amp;$M$100</f>
        <v>1.1</v>
      </c>
      <c r="AP102" s="1149" t="str">
        <f>$I$100&amp;"."&amp;$M$100&amp;"."&amp;$Q$102</f>
        <v>1.1.2</v>
      </c>
      <c r="AQ102" s="1149"/>
    </row>
    <row r="103" spans="1:43" ht="17.25" customHeight="1">
      <c r="A103" s="1700"/>
      <c r="B103" s="1854"/>
      <c r="C103" s="1705"/>
      <c r="D103" s="16038"/>
      <c r="E103" s="16039"/>
      <c r="F103" s="16011"/>
      <c r="G103" s="16041"/>
      <c r="H103" s="16038"/>
      <c r="I103" s="16038"/>
      <c r="J103" s="16048"/>
      <c r="K103" s="16041"/>
      <c r="L103" s="16038"/>
      <c r="M103" s="16038"/>
      <c r="N103" s="16052"/>
      <c r="O103" s="16045"/>
      <c r="P103" s="15974"/>
      <c r="Q103" s="15974"/>
      <c r="R103" s="16046"/>
      <c r="S103" s="16050"/>
      <c r="T103" s="1311"/>
      <c r="U103" s="1312"/>
      <c r="V103" s="1312"/>
      <c r="W103" s="16043"/>
      <c r="X103" s="1854"/>
      <c r="Y103" s="1142"/>
      <c r="Z103" s="1142"/>
      <c r="AA103" s="1142"/>
      <c r="AB103" s="1142"/>
      <c r="AC103" s="1142"/>
      <c r="AD103" s="1142"/>
      <c r="AE103" s="1142"/>
      <c r="AF103" s="1142"/>
      <c r="AG103" s="1142"/>
      <c r="AH103" s="1142"/>
      <c r="AI103" s="1142"/>
      <c r="AJ103" s="1142"/>
      <c r="AK103" s="1142"/>
      <c r="AL103" s="1854"/>
      <c r="AM103" s="1854"/>
      <c r="AN103" s="1854"/>
      <c r="AO103" s="1854"/>
      <c r="AP103" s="1854"/>
      <c r="AQ103" s="1854"/>
    </row>
    <row r="104" spans="1:43" s="14384" customFormat="1" ht="17.25" customHeight="1">
      <c r="A104" s="238"/>
      <c r="C104" s="131"/>
      <c r="D104" s="16000"/>
      <c r="E104" s="16008"/>
      <c r="F104" s="16011"/>
      <c r="G104" s="16040"/>
      <c r="H104" s="16001"/>
      <c r="I104" s="16001"/>
      <c r="J104" s="16049"/>
      <c r="K104" s="16045"/>
      <c r="L104" s="16001"/>
      <c r="M104" s="16001"/>
      <c r="N104" s="16053"/>
      <c r="O104" s="15978"/>
      <c r="P104" s="1856"/>
      <c r="Q104" s="1857"/>
      <c r="R104" s="1858" t="s">
        <v>290</v>
      </c>
      <c r="S104" s="1859"/>
      <c r="T104" s="1860"/>
      <c r="U104" s="1861"/>
      <c r="V104" s="1862"/>
      <c r="W104" s="1863"/>
      <c r="Y104" s="1149"/>
      <c r="Z104" s="1149"/>
      <c r="AA104" s="1149"/>
      <c r="AB104" s="1149"/>
      <c r="AC104" s="1149"/>
      <c r="AD104" s="1149"/>
      <c r="AE104" s="1149"/>
      <c r="AF104" s="1149"/>
      <c r="AG104" s="1149"/>
      <c r="AH104" s="1149"/>
      <c r="AI104" s="1149"/>
      <c r="AJ104" s="1149"/>
      <c r="AK104" s="1149"/>
      <c r="AL104" s="1149"/>
      <c r="AM104" s="1149"/>
      <c r="AN104" s="1149"/>
      <c r="AO104" s="1149"/>
      <c r="AP104" s="1149"/>
      <c r="AQ104" s="1149"/>
    </row>
    <row r="105" spans="1:43" ht="17.25" customHeight="1">
      <c r="A105" s="1700"/>
      <c r="B105" s="1854"/>
      <c r="C105" s="1702"/>
      <c r="D105" s="16038"/>
      <c r="E105" s="16039"/>
      <c r="F105" s="16011"/>
      <c r="G105" s="16041"/>
      <c r="H105" s="16038"/>
      <c r="I105" s="16038"/>
      <c r="J105" s="16048"/>
      <c r="K105" s="16041"/>
      <c r="L105" s="15974" t="s">
        <v>103</v>
      </c>
      <c r="M105" s="15974" t="s">
        <v>102</v>
      </c>
      <c r="N105" s="16051" t="str">
        <f>IF(Z105="","",INDEX(TERRITORY_MR_LIST,MATCH(Z105,TERRITORY_LIST_ID,0)))</f>
        <v>Территория 2</v>
      </c>
      <c r="O105" s="16044" t="s">
        <v>56</v>
      </c>
      <c r="P105" s="15974"/>
      <c r="Q105" s="15974" t="s">
        <v>147</v>
      </c>
      <c r="R105" s="16054" t="s">
        <v>24</v>
      </c>
      <c r="S105" s="16050" t="s">
        <v>56</v>
      </c>
      <c r="T105" s="1664"/>
      <c r="U105" s="1664" t="s">
        <v>147</v>
      </c>
      <c r="V105" s="1310"/>
      <c r="W105" s="16043" t="s">
        <v>281</v>
      </c>
      <c r="X105" s="1854"/>
      <c r="Y105" s="1149"/>
      <c r="Z105" s="1149" t="s">
        <v>104</v>
      </c>
      <c r="AA105" s="1149"/>
      <c r="AB105" s="1149"/>
      <c r="AC105" s="1855" t="s">
        <v>283</v>
      </c>
      <c r="AD105" s="1855" t="s">
        <v>284</v>
      </c>
      <c r="AE105" s="1149" t="s">
        <v>291</v>
      </c>
      <c r="AF105" s="1149" t="s">
        <v>292</v>
      </c>
      <c r="AG105" s="1149" t="s">
        <v>293</v>
      </c>
      <c r="AH105" s="1149" t="str">
        <f>IF($E$100=0,"",$E$100)</f>
        <v>Тариф на горячую воду (горячее водоснабжение)</v>
      </c>
      <c r="AI105" s="1149" t="str">
        <f>IF($G$100=0,"",$G$100)</f>
        <v>Горячее водоснабжение</v>
      </c>
      <c r="AJ105" s="1149" t="str">
        <f>IF($J$100=0,"",$J$100)</f>
        <v>Тариф на горячую воду в закрытой системе горячего водоснабжения, поставляемую группе потребителей "население"</v>
      </c>
      <c r="AK105" s="1149" t="str">
        <f>IF($K$105="нет","без дифференциации",IF($N$105=0,"",$N$105))</f>
        <v>Территория 2</v>
      </c>
      <c r="AL105" s="1704" t="str">
        <f>IF($O$105="нет","без дифференциации",IF($R$105=0,"",$R$105))</f>
        <v>без дифференциации</v>
      </c>
      <c r="AM105" s="1704"/>
      <c r="AN105" s="1149">
        <f>$I$100</f>
        <v>1</v>
      </c>
      <c r="AO105" s="1149" t="str">
        <f>$I$100&amp;"."&amp;$M$105</f>
        <v>1.2</v>
      </c>
      <c r="AP105" s="1149" t="str">
        <f>$I$100&amp;"."&amp;$M$105&amp;"."&amp;$Q$105</f>
        <v>1.2.1</v>
      </c>
      <c r="AQ105" s="1149"/>
    </row>
    <row r="106" spans="1:43" ht="17.25" customHeight="1">
      <c r="A106" s="1700"/>
      <c r="B106" s="1854"/>
      <c r="C106" s="1705"/>
      <c r="D106" s="16038"/>
      <c r="E106" s="16039"/>
      <c r="F106" s="16011"/>
      <c r="G106" s="16041"/>
      <c r="H106" s="16038"/>
      <c r="I106" s="16038"/>
      <c r="J106" s="16048"/>
      <c r="K106" s="16041"/>
      <c r="L106" s="15974"/>
      <c r="M106" s="15974"/>
      <c r="N106" s="16051"/>
      <c r="O106" s="16045"/>
      <c r="P106" s="15974"/>
      <c r="Q106" s="15974"/>
      <c r="R106" s="16054" t="s">
        <v>24</v>
      </c>
      <c r="S106" s="16050"/>
      <c r="T106" s="1311"/>
      <c r="U106" s="1312"/>
      <c r="V106" s="1312"/>
      <c r="W106" s="16043"/>
      <c r="X106" s="1854"/>
      <c r="Y106" s="1142"/>
      <c r="Z106" s="1142"/>
      <c r="AA106" s="1142"/>
      <c r="AB106" s="1142"/>
      <c r="AC106" s="1142"/>
      <c r="AD106" s="1142"/>
      <c r="AE106" s="1142"/>
      <c r="AF106" s="1142"/>
      <c r="AG106" s="1142"/>
      <c r="AH106" s="1142"/>
      <c r="AI106" s="1142"/>
      <c r="AJ106" s="1142"/>
      <c r="AK106" s="1142"/>
      <c r="AL106" s="1854"/>
      <c r="AM106" s="1854"/>
      <c r="AN106" s="1854"/>
      <c r="AO106" s="1854"/>
      <c r="AP106" s="1854"/>
      <c r="AQ106" s="1854"/>
    </row>
    <row r="107" spans="1:43" ht="17.25" customHeight="1">
      <c r="A107" s="1700"/>
      <c r="B107" s="1854"/>
      <c r="C107" s="1705"/>
      <c r="D107" s="16038"/>
      <c r="E107" s="16039"/>
      <c r="F107" s="16011"/>
      <c r="G107" s="16041"/>
      <c r="H107" s="16038"/>
      <c r="I107" s="16038"/>
      <c r="J107" s="16048"/>
      <c r="K107" s="16041"/>
      <c r="L107" s="16001"/>
      <c r="M107" s="16001"/>
      <c r="N107" s="16053"/>
      <c r="O107" s="15978"/>
      <c r="P107" s="234"/>
      <c r="Q107" s="235"/>
      <c r="R107" s="235" t="s">
        <v>290</v>
      </c>
      <c r="S107" s="1706"/>
      <c r="T107" s="1706"/>
      <c r="U107" s="1706"/>
      <c r="V107" s="1706"/>
      <c r="W107" s="1309"/>
      <c r="X107" s="1854"/>
      <c r="Y107" s="1142"/>
      <c r="Z107" s="1142"/>
      <c r="AA107" s="1142"/>
      <c r="AB107" s="1142"/>
      <c r="AC107" s="1142"/>
      <c r="AD107" s="1142"/>
      <c r="AE107" s="1142"/>
      <c r="AF107" s="1142"/>
      <c r="AG107" s="1142"/>
      <c r="AH107" s="1142"/>
      <c r="AI107" s="1142"/>
      <c r="AJ107" s="1142"/>
      <c r="AK107" s="1142"/>
      <c r="AL107" s="1854"/>
      <c r="AM107" s="1854"/>
      <c r="AN107" s="1854"/>
      <c r="AO107" s="1854"/>
      <c r="AP107" s="1854"/>
      <c r="AQ107" s="1854"/>
    </row>
    <row r="108" spans="1:43" ht="17.25" customHeight="1">
      <c r="A108" s="1700"/>
      <c r="B108" s="1854"/>
      <c r="C108" s="1702"/>
      <c r="D108" s="16038"/>
      <c r="E108" s="16039"/>
      <c r="F108" s="16011"/>
      <c r="G108" s="16041"/>
      <c r="H108" s="16038"/>
      <c r="I108" s="16038"/>
      <c r="J108" s="16048"/>
      <c r="K108" s="16041"/>
      <c r="L108" s="15974" t="s">
        <v>103</v>
      </c>
      <c r="M108" s="15974" t="s">
        <v>89</v>
      </c>
      <c r="N108" s="16051" t="str">
        <f>IF(Z108="","",INDEX(TERRITORY_MR_LIST,MATCH(Z108,TERRITORY_LIST_ID,0)))</f>
        <v>Территория 3</v>
      </c>
      <c r="O108" s="16044" t="s">
        <v>66</v>
      </c>
      <c r="P108" s="15974"/>
      <c r="Q108" s="15974" t="s">
        <v>147</v>
      </c>
      <c r="R108" s="16046" t="s">
        <v>294</v>
      </c>
      <c r="S108" s="16050" t="s">
        <v>56</v>
      </c>
      <c r="T108" s="1664"/>
      <c r="U108" s="1664" t="s">
        <v>147</v>
      </c>
      <c r="V108" s="1310"/>
      <c r="W108" s="16043" t="s">
        <v>281</v>
      </c>
      <c r="X108" s="1854"/>
      <c r="Y108" s="1149"/>
      <c r="Z108" s="1149" t="s">
        <v>109</v>
      </c>
      <c r="AA108" s="1149"/>
      <c r="AB108" s="1149"/>
      <c r="AC108" s="1855" t="s">
        <v>283</v>
      </c>
      <c r="AD108" s="1855" t="s">
        <v>284</v>
      </c>
      <c r="AE108" s="1149" t="s">
        <v>295</v>
      </c>
      <c r="AF108" s="1149" t="s">
        <v>296</v>
      </c>
      <c r="AG108" s="1149" t="s">
        <v>297</v>
      </c>
      <c r="AH108" s="1149" t="str">
        <f>IF($E$100=0,"",$E$100)</f>
        <v>Тариф на горячую воду (горячее водоснабжение)</v>
      </c>
      <c r="AI108" s="1149" t="str">
        <f>IF($G$100=0,"",$G$100)</f>
        <v>Горячее водоснабжение</v>
      </c>
      <c r="AJ108" s="1149" t="str">
        <f>IF($J$100=0,"",$J$100)</f>
        <v>Тариф на горячую воду в закрытой системе горячего водоснабжения, поставляемую группе потребителей "население"</v>
      </c>
      <c r="AK108" s="1149" t="str">
        <f>IF($K$108="нет","без дифференциации",IF($N$108=0,"",$N$108))</f>
        <v>Территория 3</v>
      </c>
      <c r="AL108" s="1704" t="str">
        <f>IF($O$108="нет","без дифференциации",IF($R$108=0,"",$R$108))</f>
        <v>н.п. Шонгуй</v>
      </c>
      <c r="AM108" s="1704"/>
      <c r="AN108" s="1149">
        <f>$I$100</f>
        <v>1</v>
      </c>
      <c r="AO108" s="1149" t="str">
        <f>$I$100&amp;"."&amp;$M$108</f>
        <v>1.3</v>
      </c>
      <c r="AP108" s="1149" t="str">
        <f>$I$100&amp;"."&amp;$M$108&amp;"."&amp;$Q$108</f>
        <v>1.3.1</v>
      </c>
      <c r="AQ108" s="1149"/>
    </row>
    <row r="109" spans="1:43" ht="17.25" customHeight="1">
      <c r="A109" s="1700"/>
      <c r="B109" s="1854"/>
      <c r="C109" s="1705"/>
      <c r="D109" s="16038"/>
      <c r="E109" s="16039"/>
      <c r="F109" s="16011"/>
      <c r="G109" s="16041"/>
      <c r="H109" s="16038"/>
      <c r="I109" s="16038"/>
      <c r="J109" s="16048"/>
      <c r="K109" s="16041"/>
      <c r="L109" s="15974"/>
      <c r="M109" s="15974"/>
      <c r="N109" s="16051"/>
      <c r="O109" s="16045"/>
      <c r="P109" s="15974"/>
      <c r="Q109" s="15974"/>
      <c r="R109" s="16046"/>
      <c r="S109" s="16050"/>
      <c r="T109" s="1311"/>
      <c r="U109" s="1312"/>
      <c r="V109" s="1312"/>
      <c r="W109" s="16043"/>
      <c r="X109" s="1854"/>
      <c r="Y109" s="1142"/>
      <c r="Z109" s="1142"/>
      <c r="AA109" s="1142"/>
      <c r="AB109" s="1142"/>
      <c r="AC109" s="1142"/>
      <c r="AD109" s="1142"/>
      <c r="AE109" s="1142"/>
      <c r="AF109" s="1142"/>
      <c r="AG109" s="1142"/>
      <c r="AH109" s="1142"/>
      <c r="AI109" s="1142"/>
      <c r="AJ109" s="1142"/>
      <c r="AK109" s="1142"/>
      <c r="AL109" s="1854"/>
      <c r="AM109" s="1854"/>
      <c r="AN109" s="1854"/>
      <c r="AO109" s="1854"/>
      <c r="AP109" s="1854"/>
      <c r="AQ109" s="1854"/>
    </row>
    <row r="110" spans="1:43" ht="17.25" customHeight="1">
      <c r="A110" s="1700"/>
      <c r="B110" s="1854"/>
      <c r="C110" s="1705"/>
      <c r="D110" s="16038"/>
      <c r="E110" s="16039"/>
      <c r="F110" s="16011"/>
      <c r="G110" s="16041"/>
      <c r="H110" s="16038"/>
      <c r="I110" s="16038"/>
      <c r="J110" s="16048"/>
      <c r="K110" s="16041"/>
      <c r="L110" s="16001"/>
      <c r="M110" s="16001"/>
      <c r="N110" s="16053"/>
      <c r="O110" s="15978"/>
      <c r="P110" s="234"/>
      <c r="Q110" s="235"/>
      <c r="R110" s="235" t="s">
        <v>290</v>
      </c>
      <c r="S110" s="1706"/>
      <c r="T110" s="1706"/>
      <c r="U110" s="1706"/>
      <c r="V110" s="1706"/>
      <c r="W110" s="1309"/>
      <c r="X110" s="1854"/>
      <c r="Y110" s="1142"/>
      <c r="Z110" s="1142"/>
      <c r="AA110" s="1142"/>
      <c r="AB110" s="1142"/>
      <c r="AC110" s="1142"/>
      <c r="AD110" s="1142"/>
      <c r="AE110" s="1142"/>
      <c r="AF110" s="1142"/>
      <c r="AG110" s="1142"/>
      <c r="AH110" s="1142"/>
      <c r="AI110" s="1142"/>
      <c r="AJ110" s="1142"/>
      <c r="AK110" s="1142"/>
      <c r="AL110" s="1854"/>
      <c r="AM110" s="1854"/>
      <c r="AN110" s="1854"/>
      <c r="AO110" s="1854"/>
      <c r="AP110" s="1854"/>
      <c r="AQ110" s="1854"/>
    </row>
    <row r="111" spans="1:43" ht="17.25" customHeight="1">
      <c r="A111" s="1700"/>
      <c r="B111" s="1854"/>
      <c r="C111" s="1702"/>
      <c r="D111" s="16038"/>
      <c r="E111" s="16039"/>
      <c r="F111" s="16011"/>
      <c r="G111" s="16041"/>
      <c r="H111" s="16038"/>
      <c r="I111" s="16038"/>
      <c r="J111" s="16048"/>
      <c r="K111" s="16041"/>
      <c r="L111" s="15974" t="s">
        <v>103</v>
      </c>
      <c r="M111" s="15974" t="s">
        <v>90</v>
      </c>
      <c r="N111" s="16051" t="str">
        <f>IF(Z111="","",INDEX(TERRITORY_MR_LIST,MATCH(Z111,TERRITORY_LIST_ID,0)))</f>
        <v>Территория 4</v>
      </c>
      <c r="O111" s="16044" t="s">
        <v>56</v>
      </c>
      <c r="P111" s="15974"/>
      <c r="Q111" s="15974" t="s">
        <v>147</v>
      </c>
      <c r="R111" s="16054" t="s">
        <v>24</v>
      </c>
      <c r="S111" s="16050" t="s">
        <v>56</v>
      </c>
      <c r="T111" s="1664"/>
      <c r="U111" s="1664" t="s">
        <v>147</v>
      </c>
      <c r="V111" s="1310"/>
      <c r="W111" s="16043" t="s">
        <v>281</v>
      </c>
      <c r="X111" s="1854"/>
      <c r="Y111" s="1149"/>
      <c r="Z111" s="1149" t="s">
        <v>113</v>
      </c>
      <c r="AA111" s="1149"/>
      <c r="AB111" s="1149"/>
      <c r="AC111" s="1855" t="s">
        <v>283</v>
      </c>
      <c r="AD111" s="1855" t="s">
        <v>284</v>
      </c>
      <c r="AE111" s="1149" t="s">
        <v>298</v>
      </c>
      <c r="AF111" s="1149" t="s">
        <v>299</v>
      </c>
      <c r="AG111" s="1149" t="s">
        <v>300</v>
      </c>
      <c r="AH111" s="1149" t="str">
        <f>IF($E$100=0,"",$E$100)</f>
        <v>Тариф на горячую воду (горячее водоснабжение)</v>
      </c>
      <c r="AI111" s="1149" t="str">
        <f>IF($G$100=0,"",$G$100)</f>
        <v>Горячее водоснабжение</v>
      </c>
      <c r="AJ111" s="1149" t="str">
        <f>IF($J$100=0,"",$J$100)</f>
        <v>Тариф на горячую воду в закрытой системе горячего водоснабжения, поставляемую группе потребителей "население"</v>
      </c>
      <c r="AK111" s="1149" t="str">
        <f>IF($K$111="нет","без дифференциации",IF($N$111=0,"",$N$111))</f>
        <v>Территория 4</v>
      </c>
      <c r="AL111" s="1704" t="str">
        <f>IF($O$111="нет","без дифференциации",IF($R$111=0,"",$R$111))</f>
        <v>без дифференциации</v>
      </c>
      <c r="AM111" s="1704"/>
      <c r="AN111" s="1149">
        <f>$I$100</f>
        <v>1</v>
      </c>
      <c r="AO111" s="1149" t="str">
        <f>$I$100&amp;"."&amp;$M$111</f>
        <v>1.4</v>
      </c>
      <c r="AP111" s="1149" t="str">
        <f>$I$100&amp;"."&amp;$M$111&amp;"."&amp;$Q$111</f>
        <v>1.4.1</v>
      </c>
      <c r="AQ111" s="1149"/>
    </row>
    <row r="112" spans="1:43" ht="17.25" customHeight="1">
      <c r="A112" s="1700"/>
      <c r="B112" s="1854"/>
      <c r="C112" s="1705"/>
      <c r="D112" s="16038"/>
      <c r="E112" s="16039"/>
      <c r="F112" s="16011"/>
      <c r="G112" s="16041"/>
      <c r="H112" s="16038"/>
      <c r="I112" s="16038"/>
      <c r="J112" s="16048"/>
      <c r="K112" s="16041"/>
      <c r="L112" s="15974"/>
      <c r="M112" s="15974"/>
      <c r="N112" s="16051"/>
      <c r="O112" s="16045"/>
      <c r="P112" s="15974"/>
      <c r="Q112" s="15974"/>
      <c r="R112" s="16054" t="s">
        <v>24</v>
      </c>
      <c r="S112" s="16050"/>
      <c r="T112" s="1311"/>
      <c r="U112" s="1312"/>
      <c r="V112" s="1312"/>
      <c r="W112" s="16043"/>
      <c r="X112" s="1854"/>
      <c r="Y112" s="1142"/>
      <c r="Z112" s="1142"/>
      <c r="AA112" s="1142"/>
      <c r="AB112" s="1142"/>
      <c r="AC112" s="1142"/>
      <c r="AD112" s="1142"/>
      <c r="AE112" s="1142"/>
      <c r="AF112" s="1142"/>
      <c r="AG112" s="1142"/>
      <c r="AH112" s="1142"/>
      <c r="AI112" s="1142"/>
      <c r="AJ112" s="1142"/>
      <c r="AK112" s="1142"/>
      <c r="AL112" s="1854"/>
      <c r="AM112" s="1854"/>
      <c r="AN112" s="1854"/>
      <c r="AO112" s="1854"/>
      <c r="AP112" s="1854"/>
      <c r="AQ112" s="1854"/>
    </row>
    <row r="113" spans="1:43" ht="17.25" customHeight="1">
      <c r="A113" s="1700"/>
      <c r="B113" s="1854"/>
      <c r="C113" s="1705"/>
      <c r="D113" s="16038"/>
      <c r="E113" s="16039"/>
      <c r="F113" s="16011"/>
      <c r="G113" s="16041"/>
      <c r="H113" s="16038"/>
      <c r="I113" s="16038"/>
      <c r="J113" s="16048"/>
      <c r="K113" s="16041"/>
      <c r="L113" s="16001"/>
      <c r="M113" s="16001"/>
      <c r="N113" s="16053"/>
      <c r="O113" s="15978"/>
      <c r="P113" s="234"/>
      <c r="Q113" s="235"/>
      <c r="R113" s="235" t="s">
        <v>290</v>
      </c>
      <c r="S113" s="1706"/>
      <c r="T113" s="1706"/>
      <c r="U113" s="1706"/>
      <c r="V113" s="1706"/>
      <c r="W113" s="1309"/>
      <c r="X113" s="1854"/>
      <c r="Y113" s="1142"/>
      <c r="Z113" s="1142"/>
      <c r="AA113" s="1142"/>
      <c r="AB113" s="1142"/>
      <c r="AC113" s="1142"/>
      <c r="AD113" s="1142"/>
      <c r="AE113" s="1142"/>
      <c r="AF113" s="1142"/>
      <c r="AG113" s="1142"/>
      <c r="AH113" s="1142"/>
      <c r="AI113" s="1142"/>
      <c r="AJ113" s="1142"/>
      <c r="AK113" s="1142"/>
      <c r="AL113" s="1854"/>
      <c r="AM113" s="1854"/>
      <c r="AN113" s="1854"/>
      <c r="AO113" s="1854"/>
      <c r="AP113" s="1854"/>
      <c r="AQ113" s="1854"/>
    </row>
    <row r="114" spans="1:43" ht="17.25" customHeight="1">
      <c r="A114" s="1700"/>
      <c r="B114" s="1854"/>
      <c r="C114" s="1702"/>
      <c r="D114" s="16038"/>
      <c r="E114" s="16039"/>
      <c r="F114" s="16011"/>
      <c r="G114" s="16041"/>
      <c r="H114" s="16038"/>
      <c r="I114" s="16038"/>
      <c r="J114" s="16048"/>
      <c r="K114" s="16041"/>
      <c r="L114" s="15974" t="s">
        <v>103</v>
      </c>
      <c r="M114" s="15974" t="s">
        <v>117</v>
      </c>
      <c r="N114" s="16051" t="str">
        <f>IF(Z114="","",INDEX(TERRITORY_MR_LIST,MATCH(Z114,TERRITORY_LIST_ID,0)))</f>
        <v>Территория 5</v>
      </c>
      <c r="O114" s="16044" t="s">
        <v>66</v>
      </c>
      <c r="P114" s="15974"/>
      <c r="Q114" s="15974" t="s">
        <v>147</v>
      </c>
      <c r="R114" s="16046" t="s">
        <v>301</v>
      </c>
      <c r="S114" s="16050" t="s">
        <v>56</v>
      </c>
      <c r="T114" s="1664"/>
      <c r="U114" s="1664" t="s">
        <v>147</v>
      </c>
      <c r="V114" s="1310"/>
      <c r="W114" s="16043" t="s">
        <v>281</v>
      </c>
      <c r="X114" s="1854"/>
      <c r="Y114" s="1149"/>
      <c r="Z114" s="1149" t="s">
        <v>118</v>
      </c>
      <c r="AA114" s="1149"/>
      <c r="AB114" s="1149"/>
      <c r="AC114" s="1855" t="s">
        <v>283</v>
      </c>
      <c r="AD114" s="1855" t="s">
        <v>284</v>
      </c>
      <c r="AE114" s="1149" t="s">
        <v>302</v>
      </c>
      <c r="AF114" s="1149" t="s">
        <v>303</v>
      </c>
      <c r="AG114" s="1149" t="s">
        <v>304</v>
      </c>
      <c r="AH114" s="1149" t="str">
        <f>IF($E$100=0,"",$E$100)</f>
        <v>Тариф на горячую воду (горячее водоснабжение)</v>
      </c>
      <c r="AI114" s="1149" t="str">
        <f>IF($G$100=0,"",$G$100)</f>
        <v>Горячее водоснабжение</v>
      </c>
      <c r="AJ114" s="1149" t="str">
        <f>IF($J$100=0,"",$J$100)</f>
        <v>Тариф на горячую воду в закрытой системе горячего водоснабжения, поставляемую группе потребителей "население"</v>
      </c>
      <c r="AK114" s="1149" t="str">
        <f>IF($K$114="нет","без дифференциации",IF($N$114=0,"",$N$114))</f>
        <v>Территория 5</v>
      </c>
      <c r="AL114" s="1704" t="str">
        <f>IF($O$114="нет","без дифференциации",IF($R$114=0,"",$R$114))</f>
        <v>с.п. Ловозеро</v>
      </c>
      <c r="AM114" s="1704"/>
      <c r="AN114" s="1149">
        <f>$I$100</f>
        <v>1</v>
      </c>
      <c r="AO114" s="1149" t="str">
        <f>$I$100&amp;"."&amp;$M$114</f>
        <v>1.5</v>
      </c>
      <c r="AP114" s="1149" t="str">
        <f>$I$100&amp;"."&amp;$M$114&amp;"."&amp;$Q$114</f>
        <v>1.5.1</v>
      </c>
      <c r="AQ114" s="1149"/>
    </row>
    <row r="115" spans="1:43" ht="17.25" customHeight="1">
      <c r="A115" s="1700"/>
      <c r="B115" s="1854"/>
      <c r="C115" s="1705"/>
      <c r="D115" s="16038"/>
      <c r="E115" s="16039"/>
      <c r="F115" s="16011"/>
      <c r="G115" s="16041"/>
      <c r="H115" s="16038"/>
      <c r="I115" s="16038"/>
      <c r="J115" s="16048"/>
      <c r="K115" s="16041"/>
      <c r="L115" s="15974"/>
      <c r="M115" s="15974"/>
      <c r="N115" s="16051"/>
      <c r="O115" s="16045"/>
      <c r="P115" s="15974"/>
      <c r="Q115" s="15974"/>
      <c r="R115" s="16046"/>
      <c r="S115" s="16050"/>
      <c r="T115" s="1311"/>
      <c r="U115" s="1312"/>
      <c r="V115" s="1312"/>
      <c r="W115" s="16043"/>
      <c r="X115" s="1854"/>
      <c r="Y115" s="1142"/>
      <c r="Z115" s="1142"/>
      <c r="AA115" s="1142"/>
      <c r="AB115" s="1142"/>
      <c r="AC115" s="1142"/>
      <c r="AD115" s="1142"/>
      <c r="AE115" s="1142"/>
      <c r="AF115" s="1142"/>
      <c r="AG115" s="1142"/>
      <c r="AH115" s="1142"/>
      <c r="AI115" s="1142"/>
      <c r="AJ115" s="1142"/>
      <c r="AK115" s="1142"/>
      <c r="AL115" s="1854"/>
      <c r="AM115" s="1854"/>
      <c r="AN115" s="1854"/>
      <c r="AO115" s="1854"/>
      <c r="AP115" s="1854"/>
      <c r="AQ115" s="1854"/>
    </row>
    <row r="116" spans="1:43" ht="17.25" customHeight="1">
      <c r="A116" s="1700"/>
      <c r="B116" s="1854"/>
      <c r="C116" s="1705"/>
      <c r="D116" s="16038"/>
      <c r="E116" s="16039"/>
      <c r="F116" s="16011"/>
      <c r="G116" s="16041"/>
      <c r="H116" s="16038"/>
      <c r="I116" s="16038"/>
      <c r="J116" s="16048"/>
      <c r="K116" s="16041"/>
      <c r="L116" s="16001"/>
      <c r="M116" s="16001"/>
      <c r="N116" s="16053"/>
      <c r="O116" s="15978"/>
      <c r="P116" s="234"/>
      <c r="Q116" s="235"/>
      <c r="R116" s="235" t="s">
        <v>290</v>
      </c>
      <c r="S116" s="1706"/>
      <c r="T116" s="1706"/>
      <c r="U116" s="1706"/>
      <c r="V116" s="1706"/>
      <c r="W116" s="1309"/>
      <c r="X116" s="1854"/>
      <c r="Y116" s="1142"/>
      <c r="Z116" s="1142"/>
      <c r="AA116" s="1142"/>
      <c r="AB116" s="1142"/>
      <c r="AC116" s="1142"/>
      <c r="AD116" s="1142"/>
      <c r="AE116" s="1142"/>
      <c r="AF116" s="1142"/>
      <c r="AG116" s="1142"/>
      <c r="AH116" s="1142"/>
      <c r="AI116" s="1142"/>
      <c r="AJ116" s="1142"/>
      <c r="AK116" s="1142"/>
      <c r="AL116" s="1854"/>
      <c r="AM116" s="1854"/>
      <c r="AN116" s="1854"/>
      <c r="AO116" s="1854"/>
      <c r="AP116" s="1854"/>
      <c r="AQ116" s="1854"/>
    </row>
    <row r="117" spans="1:43" ht="17.25" customHeight="1">
      <c r="A117" s="1700"/>
      <c r="B117" s="1854"/>
      <c r="C117" s="1702"/>
      <c r="D117" s="16038"/>
      <c r="E117" s="16039"/>
      <c r="F117" s="16011"/>
      <c r="G117" s="16041"/>
      <c r="H117" s="16038"/>
      <c r="I117" s="16038"/>
      <c r="J117" s="16048"/>
      <c r="K117" s="16041"/>
      <c r="L117" s="15974" t="s">
        <v>103</v>
      </c>
      <c r="M117" s="15974" t="s">
        <v>91</v>
      </c>
      <c r="N117" s="16051" t="str">
        <f>IF(Z117="","",INDEX(TERRITORY_MR_LIST,MATCH(Z117,TERRITORY_LIST_ID,0)))</f>
        <v>Территория 6</v>
      </c>
      <c r="O117" s="16044" t="s">
        <v>66</v>
      </c>
      <c r="P117" s="15974"/>
      <c r="Q117" s="15974" t="s">
        <v>147</v>
      </c>
      <c r="R117" s="16046" t="s">
        <v>305</v>
      </c>
      <c r="S117" s="16050" t="s">
        <v>56</v>
      </c>
      <c r="T117" s="1664"/>
      <c r="U117" s="1664" t="s">
        <v>147</v>
      </c>
      <c r="V117" s="1310"/>
      <c r="W117" s="16043" t="s">
        <v>281</v>
      </c>
      <c r="X117" s="1854"/>
      <c r="Y117" s="1149"/>
      <c r="Z117" s="1149" t="s">
        <v>123</v>
      </c>
      <c r="AA117" s="1149"/>
      <c r="AB117" s="1149"/>
      <c r="AC117" s="1855" t="s">
        <v>283</v>
      </c>
      <c r="AD117" s="1855" t="s">
        <v>284</v>
      </c>
      <c r="AE117" s="1149" t="s">
        <v>306</v>
      </c>
      <c r="AF117" s="1149" t="s">
        <v>307</v>
      </c>
      <c r="AG117" s="1149" t="s">
        <v>308</v>
      </c>
      <c r="AH117" s="1149" t="str">
        <f>IF($E$100=0,"",$E$100)</f>
        <v>Тариф на горячую воду (горячее водоснабжение)</v>
      </c>
      <c r="AI117" s="1149" t="str">
        <f>IF($G$100=0,"",$G$100)</f>
        <v>Горячее водоснабжение</v>
      </c>
      <c r="AJ117" s="1149" t="str">
        <f>IF($J$100=0,"",$J$100)</f>
        <v>Тариф на горячую воду в закрытой системе горячего водоснабжения, поставляемую группе потребителей "население"</v>
      </c>
      <c r="AK117" s="1149" t="str">
        <f>IF($K$117="нет","без дифференциации",IF($N$117=0,"",$N$117))</f>
        <v>Территория 6</v>
      </c>
      <c r="AL117" s="1704" t="str">
        <f>IF($O$117="нет","без дифференциации",IF($R$117=0,"",$R$117))</f>
        <v>н.п. Высокий</v>
      </c>
      <c r="AM117" s="1704"/>
      <c r="AN117" s="1149">
        <f>$I$100</f>
        <v>1</v>
      </c>
      <c r="AO117" s="1149" t="str">
        <f>$I$100&amp;"."&amp;$M$117</f>
        <v>1.6</v>
      </c>
      <c r="AP117" s="1149" t="str">
        <f>$I$100&amp;"."&amp;$M$117&amp;"."&amp;$Q$117</f>
        <v>1.6.1</v>
      </c>
      <c r="AQ117" s="1149"/>
    </row>
    <row r="118" spans="1:43" ht="17.25" customHeight="1">
      <c r="A118" s="1700"/>
      <c r="B118" s="1854"/>
      <c r="C118" s="1705"/>
      <c r="D118" s="16038"/>
      <c r="E118" s="16039"/>
      <c r="F118" s="16011"/>
      <c r="G118" s="16041"/>
      <c r="H118" s="16038"/>
      <c r="I118" s="16038"/>
      <c r="J118" s="16048"/>
      <c r="K118" s="16041"/>
      <c r="L118" s="15974"/>
      <c r="M118" s="15974"/>
      <c r="N118" s="16051"/>
      <c r="O118" s="16045"/>
      <c r="P118" s="15974"/>
      <c r="Q118" s="15974"/>
      <c r="R118" s="16046"/>
      <c r="S118" s="16050"/>
      <c r="T118" s="1311"/>
      <c r="U118" s="1312"/>
      <c r="V118" s="1312"/>
      <c r="W118" s="16043"/>
      <c r="X118" s="1854"/>
      <c r="Y118" s="1142"/>
      <c r="Z118" s="1142"/>
      <c r="AA118" s="1142"/>
      <c r="AB118" s="1142"/>
      <c r="AC118" s="1142"/>
      <c r="AD118" s="1142"/>
      <c r="AE118" s="1142"/>
      <c r="AF118" s="1142"/>
      <c r="AG118" s="1142"/>
      <c r="AH118" s="1142"/>
      <c r="AI118" s="1142"/>
      <c r="AJ118" s="1142"/>
      <c r="AK118" s="1142"/>
      <c r="AL118" s="1854"/>
      <c r="AM118" s="1854"/>
      <c r="AN118" s="1854"/>
      <c r="AO118" s="1854"/>
      <c r="AP118" s="1854"/>
      <c r="AQ118" s="1854"/>
    </row>
    <row r="119" spans="1:43" ht="17.25" customHeight="1">
      <c r="A119" s="1700"/>
      <c r="B119" s="1854"/>
      <c r="C119" s="1705"/>
      <c r="D119" s="16038"/>
      <c r="E119" s="16039"/>
      <c r="F119" s="16011"/>
      <c r="G119" s="16041"/>
      <c r="H119" s="16038"/>
      <c r="I119" s="16038"/>
      <c r="J119" s="16048"/>
      <c r="K119" s="16041"/>
      <c r="L119" s="16001"/>
      <c r="M119" s="16001"/>
      <c r="N119" s="16053"/>
      <c r="O119" s="15978"/>
      <c r="P119" s="234"/>
      <c r="Q119" s="235"/>
      <c r="R119" s="235" t="s">
        <v>290</v>
      </c>
      <c r="S119" s="1706"/>
      <c r="T119" s="1706"/>
      <c r="U119" s="1706"/>
      <c r="V119" s="1706"/>
      <c r="W119" s="1309"/>
      <c r="X119" s="1854"/>
      <c r="Y119" s="1142"/>
      <c r="Z119" s="1142"/>
      <c r="AA119" s="1142"/>
      <c r="AB119" s="1142"/>
      <c r="AC119" s="1142"/>
      <c r="AD119" s="1142"/>
      <c r="AE119" s="1142"/>
      <c r="AF119" s="1142"/>
      <c r="AG119" s="1142"/>
      <c r="AH119" s="1142"/>
      <c r="AI119" s="1142"/>
      <c r="AJ119" s="1142"/>
      <c r="AK119" s="1142"/>
      <c r="AL119" s="1854"/>
      <c r="AM119" s="1854"/>
      <c r="AN119" s="1854"/>
      <c r="AO119" s="1854"/>
      <c r="AP119" s="1854"/>
      <c r="AQ119" s="1854"/>
    </row>
    <row r="120" spans="1:43" ht="17.25" customHeight="1">
      <c r="A120" s="1700"/>
      <c r="B120" s="1854"/>
      <c r="C120" s="1702"/>
      <c r="D120" s="16038"/>
      <c r="E120" s="16039"/>
      <c r="F120" s="16011"/>
      <c r="G120" s="16041"/>
      <c r="H120" s="16038"/>
      <c r="I120" s="16038"/>
      <c r="J120" s="16048"/>
      <c r="K120" s="16041"/>
      <c r="L120" s="15974" t="s">
        <v>103</v>
      </c>
      <c r="M120" s="15974" t="s">
        <v>92</v>
      </c>
      <c r="N120" s="16051" t="str">
        <f>IF(Z120="","",INDEX(TERRITORY_MR_LIST,MATCH(Z120,TERRITORY_LIST_ID,0)))</f>
        <v>Территория 7</v>
      </c>
      <c r="O120" s="16044" t="s">
        <v>56</v>
      </c>
      <c r="P120" s="15974"/>
      <c r="Q120" s="15974" t="s">
        <v>147</v>
      </c>
      <c r="R120" s="16054" t="s">
        <v>24</v>
      </c>
      <c r="S120" s="16050" t="s">
        <v>56</v>
      </c>
      <c r="T120" s="1664"/>
      <c r="U120" s="1664" t="s">
        <v>147</v>
      </c>
      <c r="V120" s="1310"/>
      <c r="W120" s="16043" t="s">
        <v>281</v>
      </c>
      <c r="X120" s="1854"/>
      <c r="Y120" s="1149"/>
      <c r="Z120" s="1149" t="s">
        <v>127</v>
      </c>
      <c r="AA120" s="1149"/>
      <c r="AB120" s="1149"/>
      <c r="AC120" s="1855" t="s">
        <v>283</v>
      </c>
      <c r="AD120" s="1855" t="s">
        <v>284</v>
      </c>
      <c r="AE120" s="1149" t="s">
        <v>309</v>
      </c>
      <c r="AF120" s="1149" t="s">
        <v>310</v>
      </c>
      <c r="AG120" s="1149" t="s">
        <v>311</v>
      </c>
      <c r="AH120" s="1149" t="str">
        <f>IF($E$100=0,"",$E$100)</f>
        <v>Тариф на горячую воду (горячее водоснабжение)</v>
      </c>
      <c r="AI120" s="1149" t="str">
        <f>IF($G$100=0,"",$G$100)</f>
        <v>Горячее водоснабжение</v>
      </c>
      <c r="AJ120" s="1149" t="str">
        <f>IF($J$100=0,"",$J$100)</f>
        <v>Тариф на горячую воду в закрытой системе горячего водоснабжения, поставляемую группе потребителей "население"</v>
      </c>
      <c r="AK120" s="1149" t="str">
        <f>IF($K$120="нет","без дифференциации",IF($N$120=0,"",$N$120))</f>
        <v>Территория 7</v>
      </c>
      <c r="AL120" s="1704" t="str">
        <f>IF($O$120="нет","без дифференциации",IF($R$120=0,"",$R$120))</f>
        <v>без дифференциации</v>
      </c>
      <c r="AM120" s="1704"/>
      <c r="AN120" s="1149">
        <f>$I$100</f>
        <v>1</v>
      </c>
      <c r="AO120" s="1149" t="str">
        <f>$I$100&amp;"."&amp;$M$120</f>
        <v>1.7</v>
      </c>
      <c r="AP120" s="1149" t="str">
        <f>$I$100&amp;"."&amp;$M$120&amp;"."&amp;$Q$120</f>
        <v>1.7.1</v>
      </c>
      <c r="AQ120" s="1149"/>
    </row>
    <row r="121" spans="1:43" ht="17.25" customHeight="1">
      <c r="A121" s="1700"/>
      <c r="B121" s="1854"/>
      <c r="C121" s="1705"/>
      <c r="D121" s="16038"/>
      <c r="E121" s="16039"/>
      <c r="F121" s="16011"/>
      <c r="G121" s="16041"/>
      <c r="H121" s="16038"/>
      <c r="I121" s="16038"/>
      <c r="J121" s="16048"/>
      <c r="K121" s="16041"/>
      <c r="L121" s="15974"/>
      <c r="M121" s="15974"/>
      <c r="N121" s="16051"/>
      <c r="O121" s="16045"/>
      <c r="P121" s="15974"/>
      <c r="Q121" s="15974"/>
      <c r="R121" s="16054" t="s">
        <v>24</v>
      </c>
      <c r="S121" s="16050"/>
      <c r="T121" s="1311"/>
      <c r="U121" s="1312"/>
      <c r="V121" s="1312"/>
      <c r="W121" s="16043"/>
      <c r="X121" s="1854"/>
      <c r="Y121" s="1142"/>
      <c r="Z121" s="1142"/>
      <c r="AA121" s="1142"/>
      <c r="AB121" s="1142"/>
      <c r="AC121" s="1142"/>
      <c r="AD121" s="1142"/>
      <c r="AE121" s="1142"/>
      <c r="AF121" s="1142"/>
      <c r="AG121" s="1142"/>
      <c r="AH121" s="1142"/>
      <c r="AI121" s="1142"/>
      <c r="AJ121" s="1142"/>
      <c r="AK121" s="1142"/>
      <c r="AL121" s="1854"/>
      <c r="AM121" s="1854"/>
      <c r="AN121" s="1854"/>
      <c r="AO121" s="1854"/>
      <c r="AP121" s="1854"/>
      <c r="AQ121" s="1854"/>
    </row>
    <row r="122" spans="1:43" ht="17.25" customHeight="1">
      <c r="A122" s="1700"/>
      <c r="B122" s="1854"/>
      <c r="C122" s="1705"/>
      <c r="D122" s="16038"/>
      <c r="E122" s="16039"/>
      <c r="F122" s="16011"/>
      <c r="G122" s="16041"/>
      <c r="H122" s="16038"/>
      <c r="I122" s="16038"/>
      <c r="J122" s="16048"/>
      <c r="K122" s="16041"/>
      <c r="L122" s="16001"/>
      <c r="M122" s="16001"/>
      <c r="N122" s="16053"/>
      <c r="O122" s="15978"/>
      <c r="P122" s="234"/>
      <c r="Q122" s="235"/>
      <c r="R122" s="235" t="s">
        <v>290</v>
      </c>
      <c r="S122" s="1706"/>
      <c r="T122" s="1706"/>
      <c r="U122" s="1706"/>
      <c r="V122" s="1706"/>
      <c r="W122" s="1309"/>
      <c r="X122" s="1854"/>
      <c r="Y122" s="1142"/>
      <c r="Z122" s="1142"/>
      <c r="AA122" s="1142"/>
      <c r="AB122" s="1142"/>
      <c r="AC122" s="1142"/>
      <c r="AD122" s="1142"/>
      <c r="AE122" s="1142"/>
      <c r="AF122" s="1142"/>
      <c r="AG122" s="1142"/>
      <c r="AH122" s="1142"/>
      <c r="AI122" s="1142"/>
      <c r="AJ122" s="1142"/>
      <c r="AK122" s="1142"/>
      <c r="AL122" s="1854"/>
      <c r="AM122" s="1854"/>
      <c r="AN122" s="1854"/>
      <c r="AO122" s="1854"/>
      <c r="AP122" s="1854"/>
      <c r="AQ122" s="1854"/>
    </row>
    <row r="123" spans="1:43" ht="17.25" customHeight="1">
      <c r="A123" s="1700"/>
      <c r="B123" s="1854"/>
      <c r="C123" s="1702"/>
      <c r="D123" s="16038"/>
      <c r="E123" s="16039"/>
      <c r="F123" s="16011"/>
      <c r="G123" s="16041"/>
      <c r="H123" s="16038"/>
      <c r="I123" s="16038"/>
      <c r="J123" s="16048"/>
      <c r="K123" s="16041"/>
      <c r="L123" s="15974" t="s">
        <v>103</v>
      </c>
      <c r="M123" s="15974" t="s">
        <v>132</v>
      </c>
      <c r="N123" s="16051" t="str">
        <f>IF(Z123="","",INDEX(TERRITORY_MR_LIST,MATCH(Z123,TERRITORY_LIST_ID,0)))</f>
        <v>Территория 8</v>
      </c>
      <c r="O123" s="16044" t="s">
        <v>66</v>
      </c>
      <c r="P123" s="15974"/>
      <c r="Q123" s="15974" t="s">
        <v>147</v>
      </c>
      <c r="R123" s="16046" t="s">
        <v>312</v>
      </c>
      <c r="S123" s="16050" t="s">
        <v>56</v>
      </c>
      <c r="T123" s="1664"/>
      <c r="U123" s="1664" t="s">
        <v>147</v>
      </c>
      <c r="V123" s="1310"/>
      <c r="W123" s="16043" t="s">
        <v>281</v>
      </c>
      <c r="X123" s="1854"/>
      <c r="Y123" s="1149"/>
      <c r="Z123" s="1149" t="s">
        <v>133</v>
      </c>
      <c r="AA123" s="1149"/>
      <c r="AB123" s="1149"/>
      <c r="AC123" s="1855" t="s">
        <v>283</v>
      </c>
      <c r="AD123" s="1855" t="s">
        <v>284</v>
      </c>
      <c r="AE123" s="1149" t="s">
        <v>313</v>
      </c>
      <c r="AF123" s="1149" t="s">
        <v>314</v>
      </c>
      <c r="AG123" s="1149" t="s">
        <v>315</v>
      </c>
      <c r="AH123" s="1149" t="str">
        <f>IF($E$100=0,"",$E$100)</f>
        <v>Тариф на горячую воду (горячее водоснабжение)</v>
      </c>
      <c r="AI123" s="1149" t="str">
        <f>IF($G$100=0,"",$G$100)</f>
        <v>Горячее водоснабжение</v>
      </c>
      <c r="AJ123" s="1149" t="str">
        <f>IF($J$100=0,"",$J$100)</f>
        <v>Тариф на горячую воду в закрытой системе горячего водоснабжения, поставляемую группе потребителей "население"</v>
      </c>
      <c r="AK123" s="1149" t="str">
        <f>IF($K$123="нет","без дифференциации",IF($N$123=0,"",$N$123))</f>
        <v>Территория 8</v>
      </c>
      <c r="AL123" s="1704" t="str">
        <f>IF($O$123="нет","без дифференциации",IF($R$123=0,"",$R$123))</f>
        <v>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v>
      </c>
      <c r="AM123" s="1704"/>
      <c r="AN123" s="1149">
        <f>$I$100</f>
        <v>1</v>
      </c>
      <c r="AO123" s="1149" t="str">
        <f>$I$100&amp;"."&amp;$M$123</f>
        <v>1.8</v>
      </c>
      <c r="AP123" s="1149" t="str">
        <f>$I$100&amp;"."&amp;$M$123&amp;"."&amp;$Q$123</f>
        <v>1.8.1</v>
      </c>
      <c r="AQ123" s="1149"/>
    </row>
    <row r="124" spans="1:43" ht="17.25" customHeight="1">
      <c r="A124" s="1700"/>
      <c r="B124" s="1854"/>
      <c r="C124" s="1705"/>
      <c r="D124" s="16038"/>
      <c r="E124" s="16039"/>
      <c r="F124" s="16011"/>
      <c r="G124" s="16041"/>
      <c r="H124" s="16038"/>
      <c r="I124" s="16038"/>
      <c r="J124" s="16048"/>
      <c r="K124" s="16041"/>
      <c r="L124" s="15974"/>
      <c r="M124" s="15974"/>
      <c r="N124" s="16051"/>
      <c r="O124" s="16045"/>
      <c r="P124" s="15974"/>
      <c r="Q124" s="15974"/>
      <c r="R124" s="16046"/>
      <c r="S124" s="16050"/>
      <c r="T124" s="1311"/>
      <c r="U124" s="1312"/>
      <c r="V124" s="1312"/>
      <c r="W124" s="16043"/>
      <c r="X124" s="1854"/>
      <c r="Y124" s="1142"/>
      <c r="Z124" s="1142"/>
      <c r="AA124" s="1142"/>
      <c r="AB124" s="1142"/>
      <c r="AC124" s="1142"/>
      <c r="AD124" s="1142"/>
      <c r="AE124" s="1142"/>
      <c r="AF124" s="1142"/>
      <c r="AG124" s="1142"/>
      <c r="AH124" s="1142"/>
      <c r="AI124" s="1142"/>
      <c r="AJ124" s="1142"/>
      <c r="AK124" s="1142"/>
      <c r="AL124" s="1854"/>
      <c r="AM124" s="1854"/>
      <c r="AN124" s="1854"/>
      <c r="AO124" s="1854"/>
      <c r="AP124" s="1854"/>
      <c r="AQ124" s="1854"/>
    </row>
    <row r="125" spans="1:43" ht="17.25" customHeight="1">
      <c r="A125" s="1700"/>
      <c r="B125" s="1854"/>
      <c r="C125" s="1702"/>
      <c r="D125" s="16038"/>
      <c r="E125" s="16039"/>
      <c r="F125" s="16011"/>
      <c r="G125" s="16041"/>
      <c r="H125" s="16038"/>
      <c r="I125" s="16038"/>
      <c r="J125" s="16048"/>
      <c r="K125" s="16041"/>
      <c r="L125" s="16038"/>
      <c r="M125" s="16038"/>
      <c r="N125" s="16052"/>
      <c r="O125" s="16045"/>
      <c r="P125" s="15974" t="s">
        <v>103</v>
      </c>
      <c r="Q125" s="15974" t="s">
        <v>102</v>
      </c>
      <c r="R125" s="16046" t="s">
        <v>316</v>
      </c>
      <c r="S125" s="16050" t="s">
        <v>56</v>
      </c>
      <c r="T125" s="1664"/>
      <c r="U125" s="1664" t="s">
        <v>147</v>
      </c>
      <c r="V125" s="1310"/>
      <c r="W125" s="16043" t="s">
        <v>281</v>
      </c>
      <c r="X125" s="1854"/>
      <c r="Y125" s="1149"/>
      <c r="Z125" s="1149"/>
      <c r="AA125" s="1149"/>
      <c r="AB125" s="1149"/>
      <c r="AC125" s="1855" t="s">
        <v>283</v>
      </c>
      <c r="AD125" s="1855" t="s">
        <v>284</v>
      </c>
      <c r="AE125" s="1855" t="s">
        <v>313</v>
      </c>
      <c r="AF125" s="1149" t="s">
        <v>317</v>
      </c>
      <c r="AG125" s="1149" t="s">
        <v>318</v>
      </c>
      <c r="AH125" s="1149" t="str">
        <f>IF($E$100=0,"",$E$100)</f>
        <v>Тариф на горячую воду (горячее водоснабжение)</v>
      </c>
      <c r="AI125" s="1149" t="str">
        <f>IF($G$100=0,"",$G$100)</f>
        <v>Горячее водоснабжение</v>
      </c>
      <c r="AJ125" s="1149" t="str">
        <f>IF($J$100=0,"",$J$100)</f>
        <v>Тариф на горячую воду в закрытой системе горячего водоснабжения, поставляемую группе потребителей "население"</v>
      </c>
      <c r="AK125" s="1149" t="str">
        <f>IF($K$123="нет","без дифференциации",IF($N$123=0,"",$N$123))</f>
        <v>Территория 8</v>
      </c>
      <c r="AL125" s="1704" t="str">
        <f>IF($O$125="нет","без дифференциации",IF($R$125=0,"",$R$125))</f>
        <v>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v>
      </c>
      <c r="AM125" s="1704"/>
      <c r="AN125" s="1149">
        <f>$I$100</f>
        <v>1</v>
      </c>
      <c r="AO125" s="1149" t="str">
        <f>$I$100&amp;"."&amp;$M$123</f>
        <v>1.8</v>
      </c>
      <c r="AP125" s="1149" t="str">
        <f>$I$100&amp;"."&amp;$M$123&amp;"."&amp;$Q$125</f>
        <v>1.8.2</v>
      </c>
      <c r="AQ125" s="1149"/>
    </row>
    <row r="126" spans="1:43" ht="17.25" customHeight="1">
      <c r="A126" s="1700"/>
      <c r="B126" s="1854"/>
      <c r="C126" s="1705"/>
      <c r="D126" s="16038"/>
      <c r="E126" s="16039"/>
      <c r="F126" s="16011"/>
      <c r="G126" s="16041"/>
      <c r="H126" s="16038"/>
      <c r="I126" s="16038"/>
      <c r="J126" s="16048"/>
      <c r="K126" s="16041"/>
      <c r="L126" s="16038"/>
      <c r="M126" s="16038"/>
      <c r="N126" s="16052"/>
      <c r="O126" s="16045"/>
      <c r="P126" s="15974"/>
      <c r="Q126" s="15974"/>
      <c r="R126" s="16046"/>
      <c r="S126" s="16050"/>
      <c r="T126" s="1311"/>
      <c r="U126" s="1312"/>
      <c r="V126" s="1312"/>
      <c r="W126" s="16043"/>
      <c r="X126" s="1854"/>
      <c r="Y126" s="1142"/>
      <c r="Z126" s="1142"/>
      <c r="AA126" s="1142"/>
      <c r="AB126" s="1142"/>
      <c r="AC126" s="1142"/>
      <c r="AD126" s="1142"/>
      <c r="AE126" s="1142"/>
      <c r="AF126" s="1142"/>
      <c r="AG126" s="1142"/>
      <c r="AH126" s="1142"/>
      <c r="AI126" s="1142"/>
      <c r="AJ126" s="1142"/>
      <c r="AK126" s="1142"/>
      <c r="AL126" s="1854"/>
      <c r="AM126" s="1854"/>
      <c r="AN126" s="1854"/>
      <c r="AO126" s="1854"/>
      <c r="AP126" s="1854"/>
      <c r="AQ126" s="1854"/>
    </row>
    <row r="127" spans="1:43" ht="17.25" customHeight="1">
      <c r="A127" s="1700"/>
      <c r="B127" s="1854"/>
      <c r="C127" s="1702"/>
      <c r="D127" s="16038"/>
      <c r="E127" s="16039"/>
      <c r="F127" s="16011"/>
      <c r="G127" s="16041"/>
      <c r="H127" s="16038"/>
      <c r="I127" s="16038"/>
      <c r="J127" s="16048"/>
      <c r="K127" s="16041"/>
      <c r="L127" s="16038"/>
      <c r="M127" s="16038"/>
      <c r="N127" s="16052"/>
      <c r="O127" s="16045"/>
      <c r="P127" s="15974" t="s">
        <v>103</v>
      </c>
      <c r="Q127" s="15974" t="s">
        <v>89</v>
      </c>
      <c r="R127" s="16046" t="s">
        <v>319</v>
      </c>
      <c r="S127" s="16050" t="s">
        <v>56</v>
      </c>
      <c r="T127" s="1664"/>
      <c r="U127" s="1664" t="s">
        <v>147</v>
      </c>
      <c r="V127" s="1310"/>
      <c r="W127" s="16043" t="s">
        <v>281</v>
      </c>
      <c r="X127" s="1854"/>
      <c r="Y127" s="1149"/>
      <c r="Z127" s="1149"/>
      <c r="AA127" s="1149"/>
      <c r="AB127" s="1149"/>
      <c r="AC127" s="1855" t="s">
        <v>283</v>
      </c>
      <c r="AD127" s="1855" t="s">
        <v>284</v>
      </c>
      <c r="AE127" s="1855" t="s">
        <v>313</v>
      </c>
      <c r="AF127" s="1149" t="s">
        <v>320</v>
      </c>
      <c r="AG127" s="1149" t="s">
        <v>321</v>
      </c>
      <c r="AH127" s="1149" t="str">
        <f>IF($E$100=0,"",$E$100)</f>
        <v>Тариф на горячую воду (горячее водоснабжение)</v>
      </c>
      <c r="AI127" s="1149" t="str">
        <f>IF($G$100=0,"",$G$100)</f>
        <v>Горячее водоснабжение</v>
      </c>
      <c r="AJ127" s="1149" t="str">
        <f>IF($J$100=0,"",$J$100)</f>
        <v>Тариф на горячую воду в закрытой системе горячего водоснабжения, поставляемую группе потребителей "население"</v>
      </c>
      <c r="AK127" s="1149" t="str">
        <f>IF($K$123="нет","без дифференциации",IF($N$123=0,"",$N$123))</f>
        <v>Территория 8</v>
      </c>
      <c r="AL127" s="1704" t="str">
        <f>IF($O$127="нет","без дифференциации",IF($R$127=0,"",$R$127))</f>
        <v>Городской округ закрытое административно-территориальное образование город Североморск Мурманской области (н.п. Щукозеро ул. Приозерная, 1, 3)</v>
      </c>
      <c r="AM127" s="1704"/>
      <c r="AN127" s="1149">
        <f>$I$100</f>
        <v>1</v>
      </c>
      <c r="AO127" s="1149" t="str">
        <f>$I$100&amp;"."&amp;$M$123</f>
        <v>1.8</v>
      </c>
      <c r="AP127" s="1149" t="str">
        <f>$I$100&amp;"."&amp;$M$123&amp;"."&amp;$Q$127</f>
        <v>1.8.3</v>
      </c>
      <c r="AQ127" s="1149"/>
    </row>
    <row r="128" spans="1:43" ht="17.25" customHeight="1">
      <c r="A128" s="1700"/>
      <c r="B128" s="1854"/>
      <c r="C128" s="1705"/>
      <c r="D128" s="16038"/>
      <c r="E128" s="16039"/>
      <c r="F128" s="16011"/>
      <c r="G128" s="16041"/>
      <c r="H128" s="16038"/>
      <c r="I128" s="16038"/>
      <c r="J128" s="16048"/>
      <c r="K128" s="16041"/>
      <c r="L128" s="16038"/>
      <c r="M128" s="16038"/>
      <c r="N128" s="16052"/>
      <c r="O128" s="16045"/>
      <c r="P128" s="15974"/>
      <c r="Q128" s="15974"/>
      <c r="R128" s="16046"/>
      <c r="S128" s="16050"/>
      <c r="T128" s="1311"/>
      <c r="U128" s="1312"/>
      <c r="V128" s="1312"/>
      <c r="W128" s="16043"/>
      <c r="X128" s="1854"/>
      <c r="Y128" s="1142"/>
      <c r="Z128" s="1142"/>
      <c r="AA128" s="1142"/>
      <c r="AB128" s="1142"/>
      <c r="AC128" s="1142"/>
      <c r="AD128" s="1142"/>
      <c r="AE128" s="1142"/>
      <c r="AF128" s="1142"/>
      <c r="AG128" s="1142"/>
      <c r="AH128" s="1142"/>
      <c r="AI128" s="1142"/>
      <c r="AJ128" s="1142"/>
      <c r="AK128" s="1142"/>
      <c r="AL128" s="1854"/>
      <c r="AM128" s="1854"/>
      <c r="AN128" s="1854"/>
      <c r="AO128" s="1854"/>
      <c r="AP128" s="1854"/>
      <c r="AQ128" s="1854"/>
    </row>
    <row r="129" spans="1:43" ht="17.25" customHeight="1">
      <c r="A129" s="1700"/>
      <c r="B129" s="1854"/>
      <c r="C129" s="1705"/>
      <c r="D129" s="16038"/>
      <c r="E129" s="16039"/>
      <c r="F129" s="16011"/>
      <c r="G129" s="16041"/>
      <c r="H129" s="16038"/>
      <c r="I129" s="16038"/>
      <c r="J129" s="16048"/>
      <c r="K129" s="16041"/>
      <c r="L129" s="16001"/>
      <c r="M129" s="16001"/>
      <c r="N129" s="16053"/>
      <c r="O129" s="15978"/>
      <c r="P129" s="234"/>
      <c r="Q129" s="235"/>
      <c r="R129" s="235" t="s">
        <v>290</v>
      </c>
      <c r="S129" s="1706"/>
      <c r="T129" s="1706"/>
      <c r="U129" s="1706"/>
      <c r="V129" s="1706"/>
      <c r="W129" s="1309"/>
      <c r="X129" s="1854"/>
      <c r="Y129" s="1142"/>
      <c r="Z129" s="1142"/>
      <c r="AA129" s="1142"/>
      <c r="AB129" s="1142"/>
      <c r="AC129" s="1142"/>
      <c r="AD129" s="1142"/>
      <c r="AE129" s="1142"/>
      <c r="AF129" s="1142"/>
      <c r="AG129" s="1142"/>
      <c r="AH129" s="1142"/>
      <c r="AI129" s="1142"/>
      <c r="AJ129" s="1142"/>
      <c r="AK129" s="1142"/>
      <c r="AL129" s="1854"/>
      <c r="AM129" s="1854"/>
      <c r="AN129" s="1854"/>
      <c r="AO129" s="1854"/>
      <c r="AP129" s="1854"/>
      <c r="AQ129" s="1854"/>
    </row>
    <row r="130" spans="1:43" ht="17.25" customHeight="1">
      <c r="A130" s="1700"/>
      <c r="B130" s="1854"/>
      <c r="C130" s="1702"/>
      <c r="D130" s="16038"/>
      <c r="E130" s="16039"/>
      <c r="F130" s="16011"/>
      <c r="G130" s="16041"/>
      <c r="H130" s="16038"/>
      <c r="I130" s="16038"/>
      <c r="J130" s="16048"/>
      <c r="K130" s="16041"/>
      <c r="L130" s="15974" t="s">
        <v>103</v>
      </c>
      <c r="M130" s="15974" t="s">
        <v>136</v>
      </c>
      <c r="N130" s="16051" t="str">
        <f>IF(Z130="","",INDEX(TERRITORY_MR_LIST,MATCH(Z130,TERRITORY_LIST_ID,0)))</f>
        <v>Территория 9</v>
      </c>
      <c r="O130" s="16044" t="s">
        <v>66</v>
      </c>
      <c r="P130" s="15974"/>
      <c r="Q130" s="15974" t="s">
        <v>147</v>
      </c>
      <c r="R130" s="16046" t="s">
        <v>322</v>
      </c>
      <c r="S130" s="16050" t="s">
        <v>56</v>
      </c>
      <c r="T130" s="1664"/>
      <c r="U130" s="1664" t="s">
        <v>147</v>
      </c>
      <c r="V130" s="1310"/>
      <c r="W130" s="16043" t="s">
        <v>281</v>
      </c>
      <c r="X130" s="1854"/>
      <c r="Y130" s="1149"/>
      <c r="Z130" s="1149" t="s">
        <v>137</v>
      </c>
      <c r="AA130" s="1149"/>
      <c r="AB130" s="1149"/>
      <c r="AC130" s="1855" t="s">
        <v>283</v>
      </c>
      <c r="AD130" s="1855" t="s">
        <v>284</v>
      </c>
      <c r="AE130" s="1149" t="s">
        <v>323</v>
      </c>
      <c r="AF130" s="1149" t="s">
        <v>324</v>
      </c>
      <c r="AG130" s="1149" t="s">
        <v>325</v>
      </c>
      <c r="AH130" s="1149" t="str">
        <f>IF($E$100=0,"",$E$100)</f>
        <v>Тариф на горячую воду (горячее водоснабжение)</v>
      </c>
      <c r="AI130" s="1149" t="str">
        <f>IF($G$100=0,"",$G$100)</f>
        <v>Горячее водоснабжение</v>
      </c>
      <c r="AJ130" s="1149" t="str">
        <f>IF($J$100=0,"",$J$100)</f>
        <v>Тариф на горячую воду в закрытой системе горячего водоснабжения, поставляемую группе потребителей "население"</v>
      </c>
      <c r="AK130" s="1149" t="str">
        <f>IF($K$130="нет","без дифференциации",IF($N$130=0,"",$N$130))</f>
        <v>Территория 9</v>
      </c>
      <c r="AL130" s="1704" t="str">
        <f>IF($O$130="нет","без дифференциации",IF($R$130=0,"",$R$130))</f>
        <v>н.п. Лейпи</v>
      </c>
      <c r="AM130" s="1704"/>
      <c r="AN130" s="1149">
        <f>$I$100</f>
        <v>1</v>
      </c>
      <c r="AO130" s="1149" t="str">
        <f>$I$100&amp;"."&amp;$M$130</f>
        <v>1.9</v>
      </c>
      <c r="AP130" s="1149" t="str">
        <f>$I$100&amp;"."&amp;$M$130&amp;"."&amp;$Q$130</f>
        <v>1.9.1</v>
      </c>
      <c r="AQ130" s="1149"/>
    </row>
    <row r="131" spans="1:43" ht="17.25" customHeight="1">
      <c r="A131" s="1700"/>
      <c r="B131" s="1854"/>
      <c r="C131" s="1705"/>
      <c r="D131" s="16038"/>
      <c r="E131" s="16039"/>
      <c r="F131" s="16011"/>
      <c r="G131" s="16041"/>
      <c r="H131" s="16038"/>
      <c r="I131" s="16038"/>
      <c r="J131" s="16048"/>
      <c r="K131" s="16041"/>
      <c r="L131" s="15974"/>
      <c r="M131" s="15974"/>
      <c r="N131" s="16051"/>
      <c r="O131" s="16045"/>
      <c r="P131" s="15974"/>
      <c r="Q131" s="15974"/>
      <c r="R131" s="16046"/>
      <c r="S131" s="16050"/>
      <c r="T131" s="1311"/>
      <c r="U131" s="1312"/>
      <c r="V131" s="1312"/>
      <c r="W131" s="16043"/>
      <c r="X131" s="1854"/>
      <c r="Y131" s="1142"/>
      <c r="Z131" s="1142"/>
      <c r="AA131" s="1142"/>
      <c r="AB131" s="1142"/>
      <c r="AC131" s="1142"/>
      <c r="AD131" s="1142"/>
      <c r="AE131" s="1142"/>
      <c r="AF131" s="1142"/>
      <c r="AG131" s="1142"/>
      <c r="AH131" s="1142"/>
      <c r="AI131" s="1142"/>
      <c r="AJ131" s="1142"/>
      <c r="AK131" s="1142"/>
      <c r="AL131" s="1854"/>
      <c r="AM131" s="1854"/>
      <c r="AN131" s="1854"/>
      <c r="AO131" s="1854"/>
      <c r="AP131" s="1854"/>
      <c r="AQ131" s="1854"/>
    </row>
    <row r="132" spans="1:43" ht="17.25" customHeight="1">
      <c r="A132" s="1700"/>
      <c r="B132" s="1854"/>
      <c r="C132" s="1705"/>
      <c r="D132" s="16038"/>
      <c r="E132" s="16039"/>
      <c r="F132" s="16011"/>
      <c r="G132" s="16041"/>
      <c r="H132" s="16038"/>
      <c r="I132" s="16038"/>
      <c r="J132" s="16048"/>
      <c r="K132" s="16041"/>
      <c r="L132" s="16001"/>
      <c r="M132" s="16001"/>
      <c r="N132" s="16053"/>
      <c r="O132" s="15978"/>
      <c r="P132" s="234"/>
      <c r="Q132" s="235"/>
      <c r="R132" s="235" t="s">
        <v>290</v>
      </c>
      <c r="S132" s="1706"/>
      <c r="T132" s="1706"/>
      <c r="U132" s="1706"/>
      <c r="V132" s="1706"/>
      <c r="W132" s="1309"/>
      <c r="X132" s="1854"/>
      <c r="Y132" s="1142"/>
      <c r="Z132" s="1142"/>
      <c r="AA132" s="1142"/>
      <c r="AB132" s="1142"/>
      <c r="AC132" s="1142"/>
      <c r="AD132" s="1142"/>
      <c r="AE132" s="1142"/>
      <c r="AF132" s="1142"/>
      <c r="AG132" s="1142"/>
      <c r="AH132" s="1142"/>
      <c r="AI132" s="1142"/>
      <c r="AJ132" s="1142"/>
      <c r="AK132" s="1142"/>
      <c r="AL132" s="1854"/>
      <c r="AM132" s="1854"/>
      <c r="AN132" s="1854"/>
      <c r="AO132" s="1854"/>
      <c r="AP132" s="1854"/>
      <c r="AQ132" s="1854"/>
    </row>
    <row r="133" spans="1:43" s="14384" customFormat="1" ht="17.25" customHeight="1">
      <c r="A133" s="238"/>
      <c r="C133" s="237"/>
      <c r="D133" s="16000"/>
      <c r="E133" s="16008"/>
      <c r="F133" s="16011"/>
      <c r="G133" s="16040"/>
      <c r="H133" s="16001"/>
      <c r="I133" s="16001"/>
      <c r="J133" s="16049"/>
      <c r="K133" s="15978"/>
      <c r="L133" s="1864"/>
      <c r="M133" s="1865"/>
      <c r="N133" s="1866" t="s">
        <v>326</v>
      </c>
      <c r="O133" s="1867"/>
      <c r="P133" s="1868"/>
      <c r="Q133" s="1869"/>
      <c r="R133" s="1870"/>
      <c r="S133" s="1871"/>
      <c r="T133" s="1872"/>
      <c r="U133" s="1873"/>
      <c r="V133" s="1874"/>
      <c r="W133" s="1875"/>
      <c r="Y133" s="1142"/>
      <c r="Z133" s="1142"/>
      <c r="AA133" s="1142"/>
      <c r="AB133" s="1142"/>
      <c r="AC133" s="1142"/>
      <c r="AD133" s="1142"/>
      <c r="AE133" s="1142"/>
      <c r="AF133" s="1142"/>
      <c r="AG133" s="1142"/>
      <c r="AH133" s="1142"/>
      <c r="AI133" s="1142"/>
      <c r="AJ133" s="1142"/>
      <c r="AK133" s="1142"/>
      <c r="AL133" s="1142"/>
      <c r="AM133" s="1142"/>
      <c r="AN133" s="1142"/>
      <c r="AO133" s="1142"/>
      <c r="AP133" s="1142"/>
      <c r="AQ133" s="1142"/>
    </row>
    <row r="134" spans="1:43" ht="17.25" customHeight="1">
      <c r="A134" s="1700"/>
      <c r="B134" s="1854"/>
      <c r="C134" s="1702"/>
      <c r="D134" s="16038"/>
      <c r="E134" s="16039"/>
      <c r="F134" s="16011"/>
      <c r="G134" s="16041"/>
      <c r="H134" s="16047" t="s">
        <v>103</v>
      </c>
      <c r="I134" s="16047" t="s">
        <v>102</v>
      </c>
      <c r="J134" s="16043" t="s">
        <v>327</v>
      </c>
      <c r="K134" s="16044" t="s">
        <v>66</v>
      </c>
      <c r="L134" s="15974"/>
      <c r="M134" s="15974" t="s">
        <v>147</v>
      </c>
      <c r="N134" s="16051" t="str">
        <f>IF(Z134="","",INDEX(TERRITORY_MR_LIST,MATCH(Z134,TERRITORY_LIST_ID,0)))</f>
        <v>Территория 1</v>
      </c>
      <c r="O134" s="16044" t="s">
        <v>66</v>
      </c>
      <c r="P134" s="15974"/>
      <c r="Q134" s="15974" t="s">
        <v>147</v>
      </c>
      <c r="R134" s="16046" t="s">
        <v>280</v>
      </c>
      <c r="S134" s="16050" t="s">
        <v>56</v>
      </c>
      <c r="T134" s="1664"/>
      <c r="U134" s="1664" t="s">
        <v>147</v>
      </c>
      <c r="V134" s="1310"/>
      <c r="W134" s="16043" t="s">
        <v>328</v>
      </c>
      <c r="X134" s="1854"/>
      <c r="Y134" s="1149"/>
      <c r="Z134" s="1149" t="s">
        <v>97</v>
      </c>
      <c r="AA134" s="1149"/>
      <c r="AB134" s="1149"/>
      <c r="AC134" s="1855" t="s">
        <v>283</v>
      </c>
      <c r="AD134" s="1149" t="s">
        <v>329</v>
      </c>
      <c r="AE134" s="1149" t="s">
        <v>330</v>
      </c>
      <c r="AF134" s="1149" t="s">
        <v>331</v>
      </c>
      <c r="AG134" s="1149" t="s">
        <v>332</v>
      </c>
      <c r="AH134" s="1149" t="str">
        <f>IF($E$100=0,"",$E$100)</f>
        <v>Тариф на горячую воду (горячее водоснабжение)</v>
      </c>
      <c r="AI134" s="1149" t="str">
        <f>IF($G$100=0,"",$G$100)</f>
        <v>Горячее водоснабжение</v>
      </c>
      <c r="AJ134" s="1149" t="str">
        <f>IF($J$134=0,"",$J$134)</f>
        <v>Тариф на горячую воду в закрытой системе горячего водоснабжения, поставляемую потребителям</v>
      </c>
      <c r="AK134" s="1149" t="str">
        <f>IF($K$134="нет","без дифференциации",IF($N$134=0,"",$N$134))</f>
        <v>Территория 1</v>
      </c>
      <c r="AL134" s="1704" t="str">
        <f>IF($O$134="нет","без дифференциации",IF($R$134=0,"",$R$134))</f>
        <v>городской округ город-герой Мурманск (р-н Росляково)</v>
      </c>
      <c r="AM134" s="1704"/>
      <c r="AN134" s="1149" t="str">
        <f>$I$134</f>
        <v>2</v>
      </c>
      <c r="AO134" s="1149" t="str">
        <f>$I$134&amp;"."&amp;$M$134</f>
        <v>2.1</v>
      </c>
      <c r="AP134" s="1149" t="str">
        <f>$I$134&amp;"."&amp;$M$134&amp;"."&amp;$Q$134</f>
        <v>2.1.1</v>
      </c>
      <c r="AQ134" s="1149"/>
    </row>
    <row r="135" spans="1:43" ht="17.25" customHeight="1">
      <c r="A135" s="1700"/>
      <c r="B135" s="1854"/>
      <c r="C135" s="1705"/>
      <c r="D135" s="16038"/>
      <c r="E135" s="16039"/>
      <c r="F135" s="16011"/>
      <c r="G135" s="16041"/>
      <c r="H135" s="16047"/>
      <c r="I135" s="16047"/>
      <c r="J135" s="16043"/>
      <c r="K135" s="16045"/>
      <c r="L135" s="15974"/>
      <c r="M135" s="15974"/>
      <c r="N135" s="16051"/>
      <c r="O135" s="16045"/>
      <c r="P135" s="15974"/>
      <c r="Q135" s="15974"/>
      <c r="R135" s="16046"/>
      <c r="S135" s="16050"/>
      <c r="T135" s="1311"/>
      <c r="U135" s="1312"/>
      <c r="V135" s="1312"/>
      <c r="W135" s="16043"/>
      <c r="X135" s="1854"/>
      <c r="Y135" s="1142"/>
      <c r="Z135" s="1142"/>
      <c r="AA135" s="1142"/>
      <c r="AB135" s="1142"/>
      <c r="AC135" s="1142"/>
      <c r="AD135" s="1142"/>
      <c r="AE135" s="1142"/>
      <c r="AF135" s="1142"/>
      <c r="AG135" s="1142"/>
      <c r="AH135" s="1142"/>
      <c r="AI135" s="1142"/>
      <c r="AJ135" s="1142"/>
      <c r="AK135" s="1142"/>
      <c r="AL135" s="1854"/>
      <c r="AM135" s="1854"/>
      <c r="AN135" s="1854"/>
      <c r="AO135" s="1854"/>
      <c r="AP135" s="1854"/>
      <c r="AQ135" s="1854"/>
    </row>
    <row r="136" spans="1:43" ht="17.25" customHeight="1">
      <c r="A136" s="1700"/>
      <c r="B136" s="1854"/>
      <c r="C136" s="1702"/>
      <c r="D136" s="16038"/>
      <c r="E136" s="16039"/>
      <c r="F136" s="16011"/>
      <c r="G136" s="16041"/>
      <c r="H136" s="16038"/>
      <c r="I136" s="16038"/>
      <c r="J136" s="16048"/>
      <c r="K136" s="16041"/>
      <c r="L136" s="16038"/>
      <c r="M136" s="16038"/>
      <c r="N136" s="16052"/>
      <c r="O136" s="16045"/>
      <c r="P136" s="15974" t="s">
        <v>103</v>
      </c>
      <c r="Q136" s="15974" t="s">
        <v>102</v>
      </c>
      <c r="R136" s="16046" t="s">
        <v>287</v>
      </c>
      <c r="S136" s="16050" t="s">
        <v>56</v>
      </c>
      <c r="T136" s="1664"/>
      <c r="U136" s="1664" t="s">
        <v>147</v>
      </c>
      <c r="V136" s="1310"/>
      <c r="W136" s="16043" t="s">
        <v>328</v>
      </c>
      <c r="X136" s="1854"/>
      <c r="Y136" s="1149"/>
      <c r="Z136" s="1149"/>
      <c r="AA136" s="1149"/>
      <c r="AB136" s="1149"/>
      <c r="AC136" s="1855" t="s">
        <v>283</v>
      </c>
      <c r="AD136" s="1855" t="s">
        <v>329</v>
      </c>
      <c r="AE136" s="1855" t="s">
        <v>330</v>
      </c>
      <c r="AF136" s="1149" t="s">
        <v>333</v>
      </c>
      <c r="AG136" s="1149" t="s">
        <v>334</v>
      </c>
      <c r="AH136" s="1149" t="str">
        <f>IF($E$100=0,"",$E$100)</f>
        <v>Тариф на горячую воду (горячее водоснабжение)</v>
      </c>
      <c r="AI136" s="1149" t="str">
        <f>IF($G$100=0,"",$G$100)</f>
        <v>Горячее водоснабжение</v>
      </c>
      <c r="AJ136" s="1149" t="str">
        <f>IF($J$134=0,"",$J$134)</f>
        <v>Тариф на горячую воду в закрытой системе горячего водоснабжения, поставляемую потребителям</v>
      </c>
      <c r="AK136" s="1149" t="str">
        <f>IF($K$134="нет","без дифференциации",IF($N$134=0,"",$N$134))</f>
        <v>Территория 1</v>
      </c>
      <c r="AL136" s="1704" t="str">
        <f>IF($O$136="нет","без дифференциации",IF($R$136=0,"",$R$136))</f>
        <v>городской округ город-герой Мурманск (потребители котельной ул. Фестивальная)</v>
      </c>
      <c r="AM136" s="1704"/>
      <c r="AN136" s="1149" t="str">
        <f>$I$134</f>
        <v>2</v>
      </c>
      <c r="AO136" s="1149" t="str">
        <f>$I$134&amp;"."&amp;$M$134</f>
        <v>2.1</v>
      </c>
      <c r="AP136" s="1149" t="str">
        <f>$I$134&amp;"."&amp;$M$134&amp;"."&amp;$Q$136</f>
        <v>2.1.2</v>
      </c>
      <c r="AQ136" s="1149"/>
    </row>
    <row r="137" spans="1:43" ht="17.25" customHeight="1">
      <c r="A137" s="1700"/>
      <c r="B137" s="1854"/>
      <c r="C137" s="1705"/>
      <c r="D137" s="16038"/>
      <c r="E137" s="16039"/>
      <c r="F137" s="16011"/>
      <c r="G137" s="16041"/>
      <c r="H137" s="16038"/>
      <c r="I137" s="16038"/>
      <c r="J137" s="16048"/>
      <c r="K137" s="16041"/>
      <c r="L137" s="16038"/>
      <c r="M137" s="16038"/>
      <c r="N137" s="16052"/>
      <c r="O137" s="16045"/>
      <c r="P137" s="15974"/>
      <c r="Q137" s="15974"/>
      <c r="R137" s="16046"/>
      <c r="S137" s="16050"/>
      <c r="T137" s="1311"/>
      <c r="U137" s="1312"/>
      <c r="V137" s="1312"/>
      <c r="W137" s="16043"/>
      <c r="X137" s="1854"/>
      <c r="Y137" s="1142"/>
      <c r="Z137" s="1142"/>
      <c r="AA137" s="1142"/>
      <c r="AB137" s="1142"/>
      <c r="AC137" s="1142"/>
      <c r="AD137" s="1142"/>
      <c r="AE137" s="1142"/>
      <c r="AF137" s="1142"/>
      <c r="AG137" s="1142"/>
      <c r="AH137" s="1142"/>
      <c r="AI137" s="1142"/>
      <c r="AJ137" s="1142"/>
      <c r="AK137" s="1142"/>
      <c r="AL137" s="1854"/>
      <c r="AM137" s="1854"/>
      <c r="AN137" s="1854"/>
      <c r="AO137" s="1854"/>
      <c r="AP137" s="1854"/>
      <c r="AQ137" s="1854"/>
    </row>
    <row r="138" spans="1:43" ht="17.25" customHeight="1">
      <c r="A138" s="1700"/>
      <c r="B138" s="1854"/>
      <c r="C138" s="1705"/>
      <c r="D138" s="16038"/>
      <c r="E138" s="16039"/>
      <c r="F138" s="16011"/>
      <c r="G138" s="16041"/>
      <c r="H138" s="16001"/>
      <c r="I138" s="16001"/>
      <c r="J138" s="16049"/>
      <c r="K138" s="16045"/>
      <c r="L138" s="16001"/>
      <c r="M138" s="16001"/>
      <c r="N138" s="16053"/>
      <c r="O138" s="15978"/>
      <c r="P138" s="234"/>
      <c r="Q138" s="235"/>
      <c r="R138" s="235" t="s">
        <v>290</v>
      </c>
      <c r="S138" s="1706"/>
      <c r="T138" s="1706"/>
      <c r="U138" s="1706"/>
      <c r="V138" s="1706"/>
      <c r="W138" s="1309"/>
      <c r="X138" s="1854"/>
      <c r="Y138" s="1142"/>
      <c r="Z138" s="1142"/>
      <c r="AA138" s="1142"/>
      <c r="AB138" s="1142"/>
      <c r="AC138" s="1142"/>
      <c r="AD138" s="1142"/>
      <c r="AE138" s="1142"/>
      <c r="AF138" s="1142"/>
      <c r="AG138" s="1142"/>
      <c r="AH138" s="1142"/>
      <c r="AI138" s="1142"/>
      <c r="AJ138" s="1142"/>
      <c r="AK138" s="1142"/>
      <c r="AL138" s="1854"/>
      <c r="AM138" s="1854"/>
      <c r="AN138" s="1854"/>
      <c r="AO138" s="1854"/>
      <c r="AP138" s="1854"/>
      <c r="AQ138" s="1854"/>
    </row>
    <row r="139" spans="1:43" ht="17.25" customHeight="1">
      <c r="A139" s="1700"/>
      <c r="B139" s="1854"/>
      <c r="C139" s="1702"/>
      <c r="D139" s="16038"/>
      <c r="E139" s="16039"/>
      <c r="F139" s="16011"/>
      <c r="G139" s="16041"/>
      <c r="H139" s="16038"/>
      <c r="I139" s="16038"/>
      <c r="J139" s="16048"/>
      <c r="K139" s="16041"/>
      <c r="L139" s="15974" t="s">
        <v>103</v>
      </c>
      <c r="M139" s="15974" t="s">
        <v>102</v>
      </c>
      <c r="N139" s="16051" t="str">
        <f>IF(Z139="","",INDEX(TERRITORY_MR_LIST,MATCH(Z139,TERRITORY_LIST_ID,0)))</f>
        <v>Территория 2</v>
      </c>
      <c r="O139" s="16044" t="s">
        <v>56</v>
      </c>
      <c r="P139" s="15974"/>
      <c r="Q139" s="15974" t="s">
        <v>147</v>
      </c>
      <c r="R139" s="16054" t="s">
        <v>24</v>
      </c>
      <c r="S139" s="16050" t="s">
        <v>56</v>
      </c>
      <c r="T139" s="1664"/>
      <c r="U139" s="1664" t="s">
        <v>147</v>
      </c>
      <c r="V139" s="1310"/>
      <c r="W139" s="16043" t="s">
        <v>328</v>
      </c>
      <c r="X139" s="1854"/>
      <c r="Y139" s="1149"/>
      <c r="Z139" s="1149" t="s">
        <v>104</v>
      </c>
      <c r="AA139" s="1149"/>
      <c r="AB139" s="1149"/>
      <c r="AC139" s="1855" t="s">
        <v>283</v>
      </c>
      <c r="AD139" s="1855" t="s">
        <v>329</v>
      </c>
      <c r="AE139" s="1149" t="s">
        <v>335</v>
      </c>
      <c r="AF139" s="1149" t="s">
        <v>336</v>
      </c>
      <c r="AG139" s="1149" t="s">
        <v>337</v>
      </c>
      <c r="AH139" s="1149" t="str">
        <f>IF($E$100=0,"",$E$100)</f>
        <v>Тариф на горячую воду (горячее водоснабжение)</v>
      </c>
      <c r="AI139" s="1149" t="str">
        <f>IF($G$100=0,"",$G$100)</f>
        <v>Горячее водоснабжение</v>
      </c>
      <c r="AJ139" s="1149" t="str">
        <f>IF($J$134=0,"",$J$134)</f>
        <v>Тариф на горячую воду в закрытой системе горячего водоснабжения, поставляемую потребителям</v>
      </c>
      <c r="AK139" s="1149" t="str">
        <f>IF($K$139="нет","без дифференциации",IF($N$139=0,"",$N$139))</f>
        <v>Территория 2</v>
      </c>
      <c r="AL139" s="1704" t="str">
        <f>IF($O$139="нет","без дифференциации",IF($R$139=0,"",$R$139))</f>
        <v>без дифференциации</v>
      </c>
      <c r="AM139" s="1704"/>
      <c r="AN139" s="1149" t="str">
        <f>$I$134</f>
        <v>2</v>
      </c>
      <c r="AO139" s="1149" t="str">
        <f>$I$134&amp;"."&amp;$M$139</f>
        <v>2.2</v>
      </c>
      <c r="AP139" s="1149" t="str">
        <f>$I$134&amp;"."&amp;$M$139&amp;"."&amp;$Q$139</f>
        <v>2.2.1</v>
      </c>
      <c r="AQ139" s="1149"/>
    </row>
    <row r="140" spans="1:43" ht="17.25" customHeight="1">
      <c r="A140" s="1700"/>
      <c r="B140" s="1854"/>
      <c r="C140" s="1705"/>
      <c r="D140" s="16038"/>
      <c r="E140" s="16039"/>
      <c r="F140" s="16011"/>
      <c r="G140" s="16041"/>
      <c r="H140" s="16038"/>
      <c r="I140" s="16038"/>
      <c r="J140" s="16048"/>
      <c r="K140" s="16041"/>
      <c r="L140" s="15974"/>
      <c r="M140" s="15974"/>
      <c r="N140" s="16051"/>
      <c r="O140" s="16045"/>
      <c r="P140" s="15974"/>
      <c r="Q140" s="15974"/>
      <c r="R140" s="16054" t="s">
        <v>24</v>
      </c>
      <c r="S140" s="16050"/>
      <c r="T140" s="1311"/>
      <c r="U140" s="1312"/>
      <c r="V140" s="1312"/>
      <c r="W140" s="16043"/>
      <c r="X140" s="1854"/>
      <c r="Y140" s="1142"/>
      <c r="Z140" s="1142"/>
      <c r="AA140" s="1142"/>
      <c r="AB140" s="1142"/>
      <c r="AC140" s="1142"/>
      <c r="AD140" s="1142"/>
      <c r="AE140" s="1142"/>
      <c r="AF140" s="1142"/>
      <c r="AG140" s="1142"/>
      <c r="AH140" s="1142"/>
      <c r="AI140" s="1142"/>
      <c r="AJ140" s="1142"/>
      <c r="AK140" s="1142"/>
      <c r="AL140" s="1854"/>
      <c r="AM140" s="1854"/>
      <c r="AN140" s="1854"/>
      <c r="AO140" s="1854"/>
      <c r="AP140" s="1854"/>
      <c r="AQ140" s="1854"/>
    </row>
    <row r="141" spans="1:43" ht="17.25" customHeight="1">
      <c r="A141" s="1700"/>
      <c r="B141" s="1854"/>
      <c r="C141" s="1705"/>
      <c r="D141" s="16038"/>
      <c r="E141" s="16039"/>
      <c r="F141" s="16011"/>
      <c r="G141" s="16041"/>
      <c r="H141" s="16038"/>
      <c r="I141" s="16038"/>
      <c r="J141" s="16048"/>
      <c r="K141" s="16041"/>
      <c r="L141" s="16001"/>
      <c r="M141" s="16001"/>
      <c r="N141" s="16053"/>
      <c r="O141" s="15978"/>
      <c r="P141" s="234"/>
      <c r="Q141" s="235"/>
      <c r="R141" s="235" t="s">
        <v>290</v>
      </c>
      <c r="S141" s="1706"/>
      <c r="T141" s="1706"/>
      <c r="U141" s="1706"/>
      <c r="V141" s="1706"/>
      <c r="W141" s="1309"/>
      <c r="X141" s="1854"/>
      <c r="Y141" s="1142"/>
      <c r="Z141" s="1142"/>
      <c r="AA141" s="1142"/>
      <c r="AB141" s="1142"/>
      <c r="AC141" s="1142"/>
      <c r="AD141" s="1142"/>
      <c r="AE141" s="1142"/>
      <c r="AF141" s="1142"/>
      <c r="AG141" s="1142"/>
      <c r="AH141" s="1142"/>
      <c r="AI141" s="1142"/>
      <c r="AJ141" s="1142"/>
      <c r="AK141" s="1142"/>
      <c r="AL141" s="1854"/>
      <c r="AM141" s="1854"/>
      <c r="AN141" s="1854"/>
      <c r="AO141" s="1854"/>
      <c r="AP141" s="1854"/>
      <c r="AQ141" s="1854"/>
    </row>
    <row r="142" spans="1:43" ht="17.25" customHeight="1">
      <c r="A142" s="1700"/>
      <c r="B142" s="1854"/>
      <c r="C142" s="1702"/>
      <c r="D142" s="16038"/>
      <c r="E142" s="16039"/>
      <c r="F142" s="16011"/>
      <c r="G142" s="16041"/>
      <c r="H142" s="16038"/>
      <c r="I142" s="16038"/>
      <c r="J142" s="16048"/>
      <c r="K142" s="16041"/>
      <c r="L142" s="15974" t="s">
        <v>103</v>
      </c>
      <c r="M142" s="15974" t="s">
        <v>89</v>
      </c>
      <c r="N142" s="16051" t="str">
        <f>IF(Z142="","",INDEX(TERRITORY_MR_LIST,MATCH(Z142,TERRITORY_LIST_ID,0)))</f>
        <v>Территория 3</v>
      </c>
      <c r="O142" s="16044" t="s">
        <v>66</v>
      </c>
      <c r="P142" s="15974"/>
      <c r="Q142" s="15974" t="s">
        <v>147</v>
      </c>
      <c r="R142" s="16046" t="s">
        <v>294</v>
      </c>
      <c r="S142" s="16050" t="s">
        <v>56</v>
      </c>
      <c r="T142" s="1664"/>
      <c r="U142" s="1664" t="s">
        <v>147</v>
      </c>
      <c r="V142" s="1310"/>
      <c r="W142" s="16043" t="s">
        <v>328</v>
      </c>
      <c r="X142" s="1854"/>
      <c r="Y142" s="1149"/>
      <c r="Z142" s="1149" t="s">
        <v>109</v>
      </c>
      <c r="AA142" s="1149"/>
      <c r="AB142" s="1149"/>
      <c r="AC142" s="1855" t="s">
        <v>283</v>
      </c>
      <c r="AD142" s="1855" t="s">
        <v>329</v>
      </c>
      <c r="AE142" s="1149" t="s">
        <v>338</v>
      </c>
      <c r="AF142" s="1149" t="s">
        <v>339</v>
      </c>
      <c r="AG142" s="1149" t="s">
        <v>340</v>
      </c>
      <c r="AH142" s="1149" t="str">
        <f>IF($E$100=0,"",$E$100)</f>
        <v>Тариф на горячую воду (горячее водоснабжение)</v>
      </c>
      <c r="AI142" s="1149" t="str">
        <f>IF($G$100=0,"",$G$100)</f>
        <v>Горячее водоснабжение</v>
      </c>
      <c r="AJ142" s="1149" t="str">
        <f>IF($J$134=0,"",$J$134)</f>
        <v>Тариф на горячую воду в закрытой системе горячего водоснабжения, поставляемую потребителям</v>
      </c>
      <c r="AK142" s="1149" t="str">
        <f>IF($K$142="нет","без дифференциации",IF($N$142=0,"",$N$142))</f>
        <v>Территория 3</v>
      </c>
      <c r="AL142" s="1704" t="str">
        <f>IF($O$142="нет","без дифференциации",IF($R$142=0,"",$R$142))</f>
        <v>н.п. Шонгуй</v>
      </c>
      <c r="AM142" s="1704"/>
      <c r="AN142" s="1149" t="str">
        <f>$I$134</f>
        <v>2</v>
      </c>
      <c r="AO142" s="1149" t="str">
        <f>$I$134&amp;"."&amp;$M$142</f>
        <v>2.3</v>
      </c>
      <c r="AP142" s="1149" t="str">
        <f>$I$134&amp;"."&amp;$M$142&amp;"."&amp;$Q$142</f>
        <v>2.3.1</v>
      </c>
      <c r="AQ142" s="1149"/>
    </row>
    <row r="143" spans="1:43" ht="17.25" customHeight="1">
      <c r="A143" s="1700"/>
      <c r="B143" s="1854"/>
      <c r="C143" s="1705"/>
      <c r="D143" s="16038"/>
      <c r="E143" s="16039"/>
      <c r="F143" s="16011"/>
      <c r="G143" s="16041"/>
      <c r="H143" s="16038"/>
      <c r="I143" s="16038"/>
      <c r="J143" s="16048"/>
      <c r="K143" s="16041"/>
      <c r="L143" s="15974"/>
      <c r="M143" s="15974"/>
      <c r="N143" s="16051"/>
      <c r="O143" s="16045"/>
      <c r="P143" s="15974"/>
      <c r="Q143" s="15974"/>
      <c r="R143" s="16046"/>
      <c r="S143" s="16050"/>
      <c r="T143" s="1311"/>
      <c r="U143" s="1312"/>
      <c r="V143" s="1312"/>
      <c r="W143" s="16043"/>
      <c r="X143" s="1854"/>
      <c r="Y143" s="1142"/>
      <c r="Z143" s="1142"/>
      <c r="AA143" s="1142"/>
      <c r="AB143" s="1142"/>
      <c r="AC143" s="1142"/>
      <c r="AD143" s="1142"/>
      <c r="AE143" s="1142"/>
      <c r="AF143" s="1142"/>
      <c r="AG143" s="1142"/>
      <c r="AH143" s="1142"/>
      <c r="AI143" s="1142"/>
      <c r="AJ143" s="1142"/>
      <c r="AK143" s="1142"/>
      <c r="AL143" s="1854"/>
      <c r="AM143" s="1854"/>
      <c r="AN143" s="1854"/>
      <c r="AO143" s="1854"/>
      <c r="AP143" s="1854"/>
      <c r="AQ143" s="1854"/>
    </row>
    <row r="144" spans="1:43" ht="17.25" customHeight="1">
      <c r="A144" s="1700"/>
      <c r="B144" s="1854"/>
      <c r="C144" s="1705"/>
      <c r="D144" s="16038"/>
      <c r="E144" s="16039"/>
      <c r="F144" s="16011"/>
      <c r="G144" s="16041"/>
      <c r="H144" s="16038"/>
      <c r="I144" s="16038"/>
      <c r="J144" s="16048"/>
      <c r="K144" s="16041"/>
      <c r="L144" s="16001"/>
      <c r="M144" s="16001"/>
      <c r="N144" s="16053"/>
      <c r="O144" s="15978"/>
      <c r="P144" s="234"/>
      <c r="Q144" s="235"/>
      <c r="R144" s="235" t="s">
        <v>290</v>
      </c>
      <c r="S144" s="1706"/>
      <c r="T144" s="1706"/>
      <c r="U144" s="1706"/>
      <c r="V144" s="1706"/>
      <c r="W144" s="1309"/>
      <c r="X144" s="1854"/>
      <c r="Y144" s="1142"/>
      <c r="Z144" s="1142"/>
      <c r="AA144" s="1142"/>
      <c r="AB144" s="1142"/>
      <c r="AC144" s="1142"/>
      <c r="AD144" s="1142"/>
      <c r="AE144" s="1142"/>
      <c r="AF144" s="1142"/>
      <c r="AG144" s="1142"/>
      <c r="AH144" s="1142"/>
      <c r="AI144" s="1142"/>
      <c r="AJ144" s="1142"/>
      <c r="AK144" s="1142"/>
      <c r="AL144" s="1854"/>
      <c r="AM144" s="1854"/>
      <c r="AN144" s="1854"/>
      <c r="AO144" s="1854"/>
      <c r="AP144" s="1854"/>
      <c r="AQ144" s="1854"/>
    </row>
    <row r="145" spans="1:43" ht="17.25" customHeight="1">
      <c r="A145" s="1700"/>
      <c r="B145" s="1854"/>
      <c r="C145" s="1702"/>
      <c r="D145" s="16038"/>
      <c r="E145" s="16039"/>
      <c r="F145" s="16011"/>
      <c r="G145" s="16041"/>
      <c r="H145" s="16038"/>
      <c r="I145" s="16038"/>
      <c r="J145" s="16048"/>
      <c r="K145" s="16041"/>
      <c r="L145" s="15974" t="s">
        <v>103</v>
      </c>
      <c r="M145" s="15974" t="s">
        <v>90</v>
      </c>
      <c r="N145" s="16051" t="str">
        <f>IF(Z145="","",INDEX(TERRITORY_MR_LIST,MATCH(Z145,TERRITORY_LIST_ID,0)))</f>
        <v>Территория 4</v>
      </c>
      <c r="O145" s="16044" t="s">
        <v>56</v>
      </c>
      <c r="P145" s="15974"/>
      <c r="Q145" s="15974" t="s">
        <v>147</v>
      </c>
      <c r="R145" s="16054" t="s">
        <v>24</v>
      </c>
      <c r="S145" s="16050" t="s">
        <v>56</v>
      </c>
      <c r="T145" s="1664"/>
      <c r="U145" s="1664" t="s">
        <v>147</v>
      </c>
      <c r="V145" s="1310"/>
      <c r="W145" s="16043" t="s">
        <v>328</v>
      </c>
      <c r="X145" s="1854"/>
      <c r="Y145" s="1149"/>
      <c r="Z145" s="1149" t="s">
        <v>113</v>
      </c>
      <c r="AA145" s="1149"/>
      <c r="AB145" s="1149"/>
      <c r="AC145" s="1855" t="s">
        <v>283</v>
      </c>
      <c r="AD145" s="1855" t="s">
        <v>329</v>
      </c>
      <c r="AE145" s="1149" t="s">
        <v>341</v>
      </c>
      <c r="AF145" s="1149" t="s">
        <v>342</v>
      </c>
      <c r="AG145" s="1149" t="s">
        <v>343</v>
      </c>
      <c r="AH145" s="1149" t="str">
        <f>IF($E$100=0,"",$E$100)</f>
        <v>Тариф на горячую воду (горячее водоснабжение)</v>
      </c>
      <c r="AI145" s="1149" t="str">
        <f>IF($G$100=0,"",$G$100)</f>
        <v>Горячее водоснабжение</v>
      </c>
      <c r="AJ145" s="1149" t="str">
        <f>IF($J$134=0,"",$J$134)</f>
        <v>Тариф на горячую воду в закрытой системе горячего водоснабжения, поставляемую потребителям</v>
      </c>
      <c r="AK145" s="1149" t="str">
        <f>IF($K$145="нет","без дифференциации",IF($N$145=0,"",$N$145))</f>
        <v>Территория 4</v>
      </c>
      <c r="AL145" s="1704" t="str">
        <f>IF($O$145="нет","без дифференциации",IF($R$145=0,"",$R$145))</f>
        <v>без дифференциации</v>
      </c>
      <c r="AM145" s="1704"/>
      <c r="AN145" s="1149" t="str">
        <f>$I$134</f>
        <v>2</v>
      </c>
      <c r="AO145" s="1149" t="str">
        <f>$I$134&amp;"."&amp;$M$145</f>
        <v>2.4</v>
      </c>
      <c r="AP145" s="1149" t="str">
        <f>$I$134&amp;"."&amp;$M$145&amp;"."&amp;$Q$145</f>
        <v>2.4.1</v>
      </c>
      <c r="AQ145" s="1149"/>
    </row>
    <row r="146" spans="1:43" ht="17.25" customHeight="1">
      <c r="A146" s="1700"/>
      <c r="B146" s="1854"/>
      <c r="C146" s="1705"/>
      <c r="D146" s="16038"/>
      <c r="E146" s="16039"/>
      <c r="F146" s="16011"/>
      <c r="G146" s="16041"/>
      <c r="H146" s="16038"/>
      <c r="I146" s="16038"/>
      <c r="J146" s="16048"/>
      <c r="K146" s="16041"/>
      <c r="L146" s="15974"/>
      <c r="M146" s="15974"/>
      <c r="N146" s="16051"/>
      <c r="O146" s="16045"/>
      <c r="P146" s="15974"/>
      <c r="Q146" s="15974"/>
      <c r="R146" s="16054" t="s">
        <v>24</v>
      </c>
      <c r="S146" s="16050"/>
      <c r="T146" s="1311"/>
      <c r="U146" s="1312"/>
      <c r="V146" s="1312"/>
      <c r="W146" s="16043"/>
      <c r="X146" s="1854"/>
      <c r="Y146" s="1142"/>
      <c r="Z146" s="1142"/>
      <c r="AA146" s="1142"/>
      <c r="AB146" s="1142"/>
      <c r="AC146" s="1142"/>
      <c r="AD146" s="1142"/>
      <c r="AE146" s="1142"/>
      <c r="AF146" s="1142"/>
      <c r="AG146" s="1142"/>
      <c r="AH146" s="1142"/>
      <c r="AI146" s="1142"/>
      <c r="AJ146" s="1142"/>
      <c r="AK146" s="1142"/>
      <c r="AL146" s="1854"/>
      <c r="AM146" s="1854"/>
      <c r="AN146" s="1854"/>
      <c r="AO146" s="1854"/>
      <c r="AP146" s="1854"/>
      <c r="AQ146" s="1854"/>
    </row>
    <row r="147" spans="1:43" ht="17.25" customHeight="1">
      <c r="A147" s="1700"/>
      <c r="B147" s="1854"/>
      <c r="C147" s="1705"/>
      <c r="D147" s="16038"/>
      <c r="E147" s="16039"/>
      <c r="F147" s="16011"/>
      <c r="G147" s="16041"/>
      <c r="H147" s="16038"/>
      <c r="I147" s="16038"/>
      <c r="J147" s="16048"/>
      <c r="K147" s="16041"/>
      <c r="L147" s="16001"/>
      <c r="M147" s="16001"/>
      <c r="N147" s="16053"/>
      <c r="O147" s="15978"/>
      <c r="P147" s="234"/>
      <c r="Q147" s="235"/>
      <c r="R147" s="235" t="s">
        <v>290</v>
      </c>
      <c r="S147" s="1706"/>
      <c r="T147" s="1706"/>
      <c r="U147" s="1706"/>
      <c r="V147" s="1706"/>
      <c r="W147" s="1309"/>
      <c r="X147" s="1854"/>
      <c r="Y147" s="1142"/>
      <c r="Z147" s="1142"/>
      <c r="AA147" s="1142"/>
      <c r="AB147" s="1142"/>
      <c r="AC147" s="1142"/>
      <c r="AD147" s="1142"/>
      <c r="AE147" s="1142"/>
      <c r="AF147" s="1142"/>
      <c r="AG147" s="1142"/>
      <c r="AH147" s="1142"/>
      <c r="AI147" s="1142"/>
      <c r="AJ147" s="1142"/>
      <c r="AK147" s="1142"/>
      <c r="AL147" s="1854"/>
      <c r="AM147" s="1854"/>
      <c r="AN147" s="1854"/>
      <c r="AO147" s="1854"/>
      <c r="AP147" s="1854"/>
      <c r="AQ147" s="1854"/>
    </row>
    <row r="148" spans="1:43" ht="17.25" customHeight="1">
      <c r="A148" s="1700"/>
      <c r="B148" s="1854"/>
      <c r="C148" s="1702"/>
      <c r="D148" s="16038"/>
      <c r="E148" s="16039"/>
      <c r="F148" s="16011"/>
      <c r="G148" s="16041"/>
      <c r="H148" s="16038"/>
      <c r="I148" s="16038"/>
      <c r="J148" s="16048"/>
      <c r="K148" s="16041"/>
      <c r="L148" s="15974" t="s">
        <v>103</v>
      </c>
      <c r="M148" s="15974" t="s">
        <v>117</v>
      </c>
      <c r="N148" s="16051" t="str">
        <f>IF(Z148="","",INDEX(TERRITORY_MR_LIST,MATCH(Z148,TERRITORY_LIST_ID,0)))</f>
        <v>Территория 5</v>
      </c>
      <c r="O148" s="16044" t="s">
        <v>66</v>
      </c>
      <c r="P148" s="15974"/>
      <c r="Q148" s="15974" t="s">
        <v>147</v>
      </c>
      <c r="R148" s="16046" t="s">
        <v>301</v>
      </c>
      <c r="S148" s="16050" t="s">
        <v>56</v>
      </c>
      <c r="T148" s="1664"/>
      <c r="U148" s="1664" t="s">
        <v>147</v>
      </c>
      <c r="V148" s="1310"/>
      <c r="W148" s="16043" t="s">
        <v>328</v>
      </c>
      <c r="X148" s="1854"/>
      <c r="Y148" s="1149"/>
      <c r="Z148" s="1149" t="s">
        <v>118</v>
      </c>
      <c r="AA148" s="1149"/>
      <c r="AB148" s="1149"/>
      <c r="AC148" s="1855" t="s">
        <v>283</v>
      </c>
      <c r="AD148" s="1855" t="s">
        <v>329</v>
      </c>
      <c r="AE148" s="1149" t="s">
        <v>344</v>
      </c>
      <c r="AF148" s="1149" t="s">
        <v>345</v>
      </c>
      <c r="AG148" s="1149" t="s">
        <v>346</v>
      </c>
      <c r="AH148" s="1149" t="str">
        <f>IF($E$100=0,"",$E$100)</f>
        <v>Тариф на горячую воду (горячее водоснабжение)</v>
      </c>
      <c r="AI148" s="1149" t="str">
        <f>IF($G$100=0,"",$G$100)</f>
        <v>Горячее водоснабжение</v>
      </c>
      <c r="AJ148" s="1149" t="str">
        <f>IF($J$134=0,"",$J$134)</f>
        <v>Тариф на горячую воду в закрытой системе горячего водоснабжения, поставляемую потребителям</v>
      </c>
      <c r="AK148" s="1149" t="str">
        <f>IF($K$148="нет","без дифференциации",IF($N$148=0,"",$N$148))</f>
        <v>Территория 5</v>
      </c>
      <c r="AL148" s="1704" t="str">
        <f>IF($O$148="нет","без дифференциации",IF($R$148=0,"",$R$148))</f>
        <v>с.п. Ловозеро</v>
      </c>
      <c r="AM148" s="1704"/>
      <c r="AN148" s="1149" t="str">
        <f>$I$134</f>
        <v>2</v>
      </c>
      <c r="AO148" s="1149" t="str">
        <f>$I$134&amp;"."&amp;$M$148</f>
        <v>2.5</v>
      </c>
      <c r="AP148" s="1149" t="str">
        <f>$I$134&amp;"."&amp;$M$148&amp;"."&amp;$Q$148</f>
        <v>2.5.1</v>
      </c>
      <c r="AQ148" s="1149"/>
    </row>
    <row r="149" spans="1:43" ht="17.25" customHeight="1">
      <c r="A149" s="1700"/>
      <c r="B149" s="1854"/>
      <c r="C149" s="1705"/>
      <c r="D149" s="16038"/>
      <c r="E149" s="16039"/>
      <c r="F149" s="16011"/>
      <c r="G149" s="16041"/>
      <c r="H149" s="16038"/>
      <c r="I149" s="16038"/>
      <c r="J149" s="16048"/>
      <c r="K149" s="16041"/>
      <c r="L149" s="15974"/>
      <c r="M149" s="15974"/>
      <c r="N149" s="16051"/>
      <c r="O149" s="16045"/>
      <c r="P149" s="15974"/>
      <c r="Q149" s="15974"/>
      <c r="R149" s="16046"/>
      <c r="S149" s="16050"/>
      <c r="T149" s="1311"/>
      <c r="U149" s="1312"/>
      <c r="V149" s="1312"/>
      <c r="W149" s="16043"/>
      <c r="X149" s="1854"/>
      <c r="Y149" s="1142"/>
      <c r="Z149" s="1142"/>
      <c r="AA149" s="1142"/>
      <c r="AB149" s="1142"/>
      <c r="AC149" s="1142"/>
      <c r="AD149" s="1142"/>
      <c r="AE149" s="1142"/>
      <c r="AF149" s="1142"/>
      <c r="AG149" s="1142"/>
      <c r="AH149" s="1142"/>
      <c r="AI149" s="1142"/>
      <c r="AJ149" s="1142"/>
      <c r="AK149" s="1142"/>
      <c r="AL149" s="1854"/>
      <c r="AM149" s="1854"/>
      <c r="AN149" s="1854"/>
      <c r="AO149" s="1854"/>
      <c r="AP149" s="1854"/>
      <c r="AQ149" s="1854"/>
    </row>
    <row r="150" spans="1:43" ht="17.25" customHeight="1">
      <c r="A150" s="1700"/>
      <c r="B150" s="1854"/>
      <c r="C150" s="1705"/>
      <c r="D150" s="16038"/>
      <c r="E150" s="16039"/>
      <c r="F150" s="16011"/>
      <c r="G150" s="16041"/>
      <c r="H150" s="16038"/>
      <c r="I150" s="16038"/>
      <c r="J150" s="16048"/>
      <c r="K150" s="16041"/>
      <c r="L150" s="16001"/>
      <c r="M150" s="16001"/>
      <c r="N150" s="16053"/>
      <c r="O150" s="15978"/>
      <c r="P150" s="234"/>
      <c r="Q150" s="235"/>
      <c r="R150" s="235" t="s">
        <v>290</v>
      </c>
      <c r="S150" s="1706"/>
      <c r="T150" s="1706"/>
      <c r="U150" s="1706"/>
      <c r="V150" s="1706"/>
      <c r="W150" s="1309"/>
      <c r="X150" s="1854"/>
      <c r="Y150" s="1142"/>
      <c r="Z150" s="1142"/>
      <c r="AA150" s="1142"/>
      <c r="AB150" s="1142"/>
      <c r="AC150" s="1142"/>
      <c r="AD150" s="1142"/>
      <c r="AE150" s="1142"/>
      <c r="AF150" s="1142"/>
      <c r="AG150" s="1142"/>
      <c r="AH150" s="1142"/>
      <c r="AI150" s="1142"/>
      <c r="AJ150" s="1142"/>
      <c r="AK150" s="1142"/>
      <c r="AL150" s="1854"/>
      <c r="AM150" s="1854"/>
      <c r="AN150" s="1854"/>
      <c r="AO150" s="1854"/>
      <c r="AP150" s="1854"/>
      <c r="AQ150" s="1854"/>
    </row>
    <row r="151" spans="1:43" ht="17.25" customHeight="1">
      <c r="A151" s="1700"/>
      <c r="B151" s="1854"/>
      <c r="C151" s="1702"/>
      <c r="D151" s="16038"/>
      <c r="E151" s="16039"/>
      <c r="F151" s="16011"/>
      <c r="G151" s="16041"/>
      <c r="H151" s="16038"/>
      <c r="I151" s="16038"/>
      <c r="J151" s="16048"/>
      <c r="K151" s="16041"/>
      <c r="L151" s="15974" t="s">
        <v>103</v>
      </c>
      <c r="M151" s="15974" t="s">
        <v>91</v>
      </c>
      <c r="N151" s="16051" t="str">
        <f>IF(Z151="","",INDEX(TERRITORY_MR_LIST,MATCH(Z151,TERRITORY_LIST_ID,0)))</f>
        <v>Территория 6</v>
      </c>
      <c r="O151" s="16044" t="s">
        <v>66</v>
      </c>
      <c r="P151" s="15974"/>
      <c r="Q151" s="15974" t="s">
        <v>147</v>
      </c>
      <c r="R151" s="16046" t="s">
        <v>305</v>
      </c>
      <c r="S151" s="16050" t="s">
        <v>56</v>
      </c>
      <c r="T151" s="1664"/>
      <c r="U151" s="1664" t="s">
        <v>147</v>
      </c>
      <c r="V151" s="1310"/>
      <c r="W151" s="16043" t="s">
        <v>328</v>
      </c>
      <c r="X151" s="1854"/>
      <c r="Y151" s="1149"/>
      <c r="Z151" s="1149" t="s">
        <v>123</v>
      </c>
      <c r="AA151" s="1149"/>
      <c r="AB151" s="1149"/>
      <c r="AC151" s="1855" t="s">
        <v>283</v>
      </c>
      <c r="AD151" s="1855" t="s">
        <v>329</v>
      </c>
      <c r="AE151" s="1149" t="s">
        <v>347</v>
      </c>
      <c r="AF151" s="1149" t="s">
        <v>348</v>
      </c>
      <c r="AG151" s="1149" t="s">
        <v>349</v>
      </c>
      <c r="AH151" s="1149" t="str">
        <f>IF($E$100=0,"",$E$100)</f>
        <v>Тариф на горячую воду (горячее водоснабжение)</v>
      </c>
      <c r="AI151" s="1149" t="str">
        <f>IF($G$100=0,"",$G$100)</f>
        <v>Горячее водоснабжение</v>
      </c>
      <c r="AJ151" s="1149" t="str">
        <f>IF($J$134=0,"",$J$134)</f>
        <v>Тариф на горячую воду в закрытой системе горячего водоснабжения, поставляемую потребителям</v>
      </c>
      <c r="AK151" s="1149" t="str">
        <f>IF($K$151="нет","без дифференциации",IF($N$151=0,"",$N$151))</f>
        <v>Территория 6</v>
      </c>
      <c r="AL151" s="1704" t="str">
        <f>IF($O$151="нет","без дифференциации",IF($R$151=0,"",$R$151))</f>
        <v>н.п. Высокий</v>
      </c>
      <c r="AM151" s="1704"/>
      <c r="AN151" s="1149" t="str">
        <f>$I$134</f>
        <v>2</v>
      </c>
      <c r="AO151" s="1149" t="str">
        <f>$I$134&amp;"."&amp;$M$151</f>
        <v>2.6</v>
      </c>
      <c r="AP151" s="1149" t="str">
        <f>$I$134&amp;"."&amp;$M$151&amp;"."&amp;$Q$151</f>
        <v>2.6.1</v>
      </c>
      <c r="AQ151" s="1149"/>
    </row>
    <row r="152" spans="1:43" ht="17.25" customHeight="1">
      <c r="A152" s="1700"/>
      <c r="B152" s="1854"/>
      <c r="C152" s="1705"/>
      <c r="D152" s="16038"/>
      <c r="E152" s="16039"/>
      <c r="F152" s="16011"/>
      <c r="G152" s="16041"/>
      <c r="H152" s="16038"/>
      <c r="I152" s="16038"/>
      <c r="J152" s="16048"/>
      <c r="K152" s="16041"/>
      <c r="L152" s="15974"/>
      <c r="M152" s="15974"/>
      <c r="N152" s="16051"/>
      <c r="O152" s="16045"/>
      <c r="P152" s="15974"/>
      <c r="Q152" s="15974"/>
      <c r="R152" s="16046"/>
      <c r="S152" s="16050"/>
      <c r="T152" s="1311"/>
      <c r="U152" s="1312"/>
      <c r="V152" s="1312"/>
      <c r="W152" s="16043"/>
      <c r="X152" s="1854"/>
      <c r="Y152" s="1142"/>
      <c r="Z152" s="1142"/>
      <c r="AA152" s="1142"/>
      <c r="AB152" s="1142"/>
      <c r="AC152" s="1142"/>
      <c r="AD152" s="1142"/>
      <c r="AE152" s="1142"/>
      <c r="AF152" s="1142"/>
      <c r="AG152" s="1142"/>
      <c r="AH152" s="1142"/>
      <c r="AI152" s="1142"/>
      <c r="AJ152" s="1142"/>
      <c r="AK152" s="1142"/>
      <c r="AL152" s="1854"/>
      <c r="AM152" s="1854"/>
      <c r="AN152" s="1854"/>
      <c r="AO152" s="1854"/>
      <c r="AP152" s="1854"/>
      <c r="AQ152" s="1854"/>
    </row>
    <row r="153" spans="1:43" ht="17.25" customHeight="1">
      <c r="A153" s="1700"/>
      <c r="B153" s="1854"/>
      <c r="C153" s="1705"/>
      <c r="D153" s="16038"/>
      <c r="E153" s="16039"/>
      <c r="F153" s="16011"/>
      <c r="G153" s="16041"/>
      <c r="H153" s="16038"/>
      <c r="I153" s="16038"/>
      <c r="J153" s="16048"/>
      <c r="K153" s="16041"/>
      <c r="L153" s="16001"/>
      <c r="M153" s="16001"/>
      <c r="N153" s="16053"/>
      <c r="O153" s="15978"/>
      <c r="P153" s="234"/>
      <c r="Q153" s="235"/>
      <c r="R153" s="235" t="s">
        <v>290</v>
      </c>
      <c r="S153" s="1706"/>
      <c r="T153" s="1706"/>
      <c r="U153" s="1706"/>
      <c r="V153" s="1706"/>
      <c r="W153" s="1309"/>
      <c r="X153" s="1854"/>
      <c r="Y153" s="1142"/>
      <c r="Z153" s="1142"/>
      <c r="AA153" s="1142"/>
      <c r="AB153" s="1142"/>
      <c r="AC153" s="1142"/>
      <c r="AD153" s="1142"/>
      <c r="AE153" s="1142"/>
      <c r="AF153" s="1142"/>
      <c r="AG153" s="1142"/>
      <c r="AH153" s="1142"/>
      <c r="AI153" s="1142"/>
      <c r="AJ153" s="1142"/>
      <c r="AK153" s="1142"/>
      <c r="AL153" s="1854"/>
      <c r="AM153" s="1854"/>
      <c r="AN153" s="1854"/>
      <c r="AO153" s="1854"/>
      <c r="AP153" s="1854"/>
      <c r="AQ153" s="1854"/>
    </row>
    <row r="154" spans="1:43" ht="17.25" customHeight="1">
      <c r="A154" s="1700"/>
      <c r="B154" s="1854"/>
      <c r="C154" s="1702"/>
      <c r="D154" s="16038"/>
      <c r="E154" s="16039"/>
      <c r="F154" s="16011"/>
      <c r="G154" s="16041"/>
      <c r="H154" s="16038"/>
      <c r="I154" s="16038"/>
      <c r="J154" s="16048"/>
      <c r="K154" s="16041"/>
      <c r="L154" s="15974" t="s">
        <v>103</v>
      </c>
      <c r="M154" s="15974" t="s">
        <v>92</v>
      </c>
      <c r="N154" s="16051" t="str">
        <f>IF(Z154="","",INDEX(TERRITORY_MR_LIST,MATCH(Z154,TERRITORY_LIST_ID,0)))</f>
        <v>Территория 7</v>
      </c>
      <c r="O154" s="16044" t="s">
        <v>56</v>
      </c>
      <c r="P154" s="15974"/>
      <c r="Q154" s="15974" t="s">
        <v>147</v>
      </c>
      <c r="R154" s="16054" t="s">
        <v>24</v>
      </c>
      <c r="S154" s="16050" t="s">
        <v>56</v>
      </c>
      <c r="T154" s="1664"/>
      <c r="U154" s="1664" t="s">
        <v>147</v>
      </c>
      <c r="V154" s="1310"/>
      <c r="W154" s="16043" t="s">
        <v>328</v>
      </c>
      <c r="X154" s="1854"/>
      <c r="Y154" s="1149"/>
      <c r="Z154" s="1149" t="s">
        <v>127</v>
      </c>
      <c r="AA154" s="1149"/>
      <c r="AB154" s="1149"/>
      <c r="AC154" s="1855" t="s">
        <v>283</v>
      </c>
      <c r="AD154" s="1855" t="s">
        <v>329</v>
      </c>
      <c r="AE154" s="1149" t="s">
        <v>350</v>
      </c>
      <c r="AF154" s="1149" t="s">
        <v>351</v>
      </c>
      <c r="AG154" s="1149" t="s">
        <v>352</v>
      </c>
      <c r="AH154" s="1149" t="str">
        <f>IF($E$100=0,"",$E$100)</f>
        <v>Тариф на горячую воду (горячее водоснабжение)</v>
      </c>
      <c r="AI154" s="1149" t="str">
        <f>IF($G$100=0,"",$G$100)</f>
        <v>Горячее водоснабжение</v>
      </c>
      <c r="AJ154" s="1149" t="str">
        <f>IF($J$134=0,"",$J$134)</f>
        <v>Тариф на горячую воду в закрытой системе горячего водоснабжения, поставляемую потребителям</v>
      </c>
      <c r="AK154" s="1149" t="str">
        <f>IF($K$154="нет","без дифференциации",IF($N$154=0,"",$N$154))</f>
        <v>Территория 7</v>
      </c>
      <c r="AL154" s="1704" t="str">
        <f>IF($O$154="нет","без дифференциации",IF($R$154=0,"",$R$154))</f>
        <v>без дифференциации</v>
      </c>
      <c r="AM154" s="1704"/>
      <c r="AN154" s="1149" t="str">
        <f>$I$134</f>
        <v>2</v>
      </c>
      <c r="AO154" s="1149" t="str">
        <f>$I$134&amp;"."&amp;$M$154</f>
        <v>2.7</v>
      </c>
      <c r="AP154" s="1149" t="str">
        <f>$I$134&amp;"."&amp;$M$154&amp;"."&amp;$Q$154</f>
        <v>2.7.1</v>
      </c>
      <c r="AQ154" s="1149"/>
    </row>
    <row r="155" spans="1:43" ht="17.25" customHeight="1">
      <c r="A155" s="1700"/>
      <c r="B155" s="1854"/>
      <c r="C155" s="1705"/>
      <c r="D155" s="16038"/>
      <c r="E155" s="16039"/>
      <c r="F155" s="16011"/>
      <c r="G155" s="16041"/>
      <c r="H155" s="16038"/>
      <c r="I155" s="16038"/>
      <c r="J155" s="16048"/>
      <c r="K155" s="16041"/>
      <c r="L155" s="15974"/>
      <c r="M155" s="15974"/>
      <c r="N155" s="16051"/>
      <c r="O155" s="16045"/>
      <c r="P155" s="15974"/>
      <c r="Q155" s="15974"/>
      <c r="R155" s="16054" t="s">
        <v>24</v>
      </c>
      <c r="S155" s="16050"/>
      <c r="T155" s="1311"/>
      <c r="U155" s="1312"/>
      <c r="V155" s="1312"/>
      <c r="W155" s="16043"/>
      <c r="X155" s="1854"/>
      <c r="Y155" s="1142"/>
      <c r="Z155" s="1142"/>
      <c r="AA155" s="1142"/>
      <c r="AB155" s="1142"/>
      <c r="AC155" s="1142"/>
      <c r="AD155" s="1142"/>
      <c r="AE155" s="1142"/>
      <c r="AF155" s="1142"/>
      <c r="AG155" s="1142"/>
      <c r="AH155" s="1142"/>
      <c r="AI155" s="1142"/>
      <c r="AJ155" s="1142"/>
      <c r="AK155" s="1142"/>
      <c r="AL155" s="1854"/>
      <c r="AM155" s="1854"/>
      <c r="AN155" s="1854"/>
      <c r="AO155" s="1854"/>
      <c r="AP155" s="1854"/>
      <c r="AQ155" s="1854"/>
    </row>
    <row r="156" spans="1:43" ht="17.25" customHeight="1">
      <c r="A156" s="1700"/>
      <c r="B156" s="1854"/>
      <c r="C156" s="1705"/>
      <c r="D156" s="16038"/>
      <c r="E156" s="16039"/>
      <c r="F156" s="16011"/>
      <c r="G156" s="16041"/>
      <c r="H156" s="16038"/>
      <c r="I156" s="16038"/>
      <c r="J156" s="16048"/>
      <c r="K156" s="16041"/>
      <c r="L156" s="16001"/>
      <c r="M156" s="16001"/>
      <c r="N156" s="16053"/>
      <c r="O156" s="15978"/>
      <c r="P156" s="234"/>
      <c r="Q156" s="235"/>
      <c r="R156" s="235" t="s">
        <v>290</v>
      </c>
      <c r="S156" s="1706"/>
      <c r="T156" s="1706"/>
      <c r="U156" s="1706"/>
      <c r="V156" s="1706"/>
      <c r="W156" s="1309"/>
      <c r="X156" s="1854"/>
      <c r="Y156" s="1142"/>
      <c r="Z156" s="1142"/>
      <c r="AA156" s="1142"/>
      <c r="AB156" s="1142"/>
      <c r="AC156" s="1142"/>
      <c r="AD156" s="1142"/>
      <c r="AE156" s="1142"/>
      <c r="AF156" s="1142"/>
      <c r="AG156" s="1142"/>
      <c r="AH156" s="1142"/>
      <c r="AI156" s="1142"/>
      <c r="AJ156" s="1142"/>
      <c r="AK156" s="1142"/>
      <c r="AL156" s="1854"/>
      <c r="AM156" s="1854"/>
      <c r="AN156" s="1854"/>
      <c r="AO156" s="1854"/>
      <c r="AP156" s="1854"/>
      <c r="AQ156" s="1854"/>
    </row>
    <row r="157" spans="1:43" ht="17.25" customHeight="1">
      <c r="A157" s="1700"/>
      <c r="B157" s="1854"/>
      <c r="C157" s="1702"/>
      <c r="D157" s="16038"/>
      <c r="E157" s="16039"/>
      <c r="F157" s="16011"/>
      <c r="G157" s="16041"/>
      <c r="H157" s="16038"/>
      <c r="I157" s="16038"/>
      <c r="J157" s="16048"/>
      <c r="K157" s="16041"/>
      <c r="L157" s="15974" t="s">
        <v>103</v>
      </c>
      <c r="M157" s="15974" t="s">
        <v>132</v>
      </c>
      <c r="N157" s="16051" t="str">
        <f>IF(Z157="","",INDEX(TERRITORY_MR_LIST,MATCH(Z157,TERRITORY_LIST_ID,0)))</f>
        <v>Территория 8</v>
      </c>
      <c r="O157" s="16044" t="s">
        <v>56</v>
      </c>
      <c r="P157" s="15974"/>
      <c r="Q157" s="15974" t="s">
        <v>147</v>
      </c>
      <c r="R157" s="16054" t="s">
        <v>24</v>
      </c>
      <c r="S157" s="16050" t="s">
        <v>56</v>
      </c>
      <c r="T157" s="1664"/>
      <c r="U157" s="1664" t="s">
        <v>147</v>
      </c>
      <c r="V157" s="1310"/>
      <c r="W157" s="16043" t="s">
        <v>328</v>
      </c>
      <c r="X157" s="1854"/>
      <c r="Y157" s="1149"/>
      <c r="Z157" s="1149" t="s">
        <v>133</v>
      </c>
      <c r="AA157" s="1149"/>
      <c r="AB157" s="1149"/>
      <c r="AC157" s="1855" t="s">
        <v>283</v>
      </c>
      <c r="AD157" s="1855" t="s">
        <v>329</v>
      </c>
      <c r="AE157" s="1149" t="s">
        <v>353</v>
      </c>
      <c r="AF157" s="1149" t="s">
        <v>354</v>
      </c>
      <c r="AG157" s="1149" t="s">
        <v>355</v>
      </c>
      <c r="AH157" s="1149" t="str">
        <f>IF($E$100=0,"",$E$100)</f>
        <v>Тариф на горячую воду (горячее водоснабжение)</v>
      </c>
      <c r="AI157" s="1149" t="str">
        <f>IF($G$100=0,"",$G$100)</f>
        <v>Горячее водоснабжение</v>
      </c>
      <c r="AJ157" s="1149" t="str">
        <f>IF($J$134=0,"",$J$134)</f>
        <v>Тариф на горячую воду в закрытой системе горячего водоснабжения, поставляемую потребителям</v>
      </c>
      <c r="AK157" s="1149" t="str">
        <f>IF($K$157="нет","без дифференциации",IF($N$157=0,"",$N$157))</f>
        <v>Территория 8</v>
      </c>
      <c r="AL157" s="1704" t="str">
        <f>IF($O$157="нет","без дифференциации",IF($R$157=0,"",$R$157))</f>
        <v>без дифференциации</v>
      </c>
      <c r="AM157" s="1704"/>
      <c r="AN157" s="1149" t="str">
        <f>$I$134</f>
        <v>2</v>
      </c>
      <c r="AO157" s="1149" t="str">
        <f>$I$134&amp;"."&amp;$M$157</f>
        <v>2.8</v>
      </c>
      <c r="AP157" s="1149" t="str">
        <f>$I$134&amp;"."&amp;$M$157&amp;"."&amp;$Q$157</f>
        <v>2.8.1</v>
      </c>
      <c r="AQ157" s="1149"/>
    </row>
    <row r="158" spans="1:43" ht="17.25" customHeight="1">
      <c r="A158" s="1700"/>
      <c r="B158" s="1854"/>
      <c r="C158" s="1705"/>
      <c r="D158" s="16038"/>
      <c r="E158" s="16039"/>
      <c r="F158" s="16011"/>
      <c r="G158" s="16041"/>
      <c r="H158" s="16038"/>
      <c r="I158" s="16038"/>
      <c r="J158" s="16048"/>
      <c r="K158" s="16041"/>
      <c r="L158" s="15974"/>
      <c r="M158" s="15974"/>
      <c r="N158" s="16051"/>
      <c r="O158" s="16045"/>
      <c r="P158" s="15974"/>
      <c r="Q158" s="15974"/>
      <c r="R158" s="16054" t="s">
        <v>24</v>
      </c>
      <c r="S158" s="16050"/>
      <c r="T158" s="1311"/>
      <c r="U158" s="1312"/>
      <c r="V158" s="1312"/>
      <c r="W158" s="16043"/>
      <c r="X158" s="1854"/>
      <c r="Y158" s="1142"/>
      <c r="Z158" s="1142"/>
      <c r="AA158" s="1142"/>
      <c r="AB158" s="1142"/>
      <c r="AC158" s="1142"/>
      <c r="AD158" s="1142"/>
      <c r="AE158" s="1142"/>
      <c r="AF158" s="1142"/>
      <c r="AG158" s="1142"/>
      <c r="AH158" s="1142"/>
      <c r="AI158" s="1142"/>
      <c r="AJ158" s="1142"/>
      <c r="AK158" s="1142"/>
      <c r="AL158" s="1854"/>
      <c r="AM158" s="1854"/>
      <c r="AN158" s="1854"/>
      <c r="AO158" s="1854"/>
      <c r="AP158" s="1854"/>
      <c r="AQ158" s="1854"/>
    </row>
    <row r="159" spans="1:43" ht="17.25" customHeight="1">
      <c r="A159" s="1700"/>
      <c r="B159" s="1854"/>
      <c r="C159" s="1705"/>
      <c r="D159" s="16038"/>
      <c r="E159" s="16039"/>
      <c r="F159" s="16011"/>
      <c r="G159" s="16041"/>
      <c r="H159" s="16038"/>
      <c r="I159" s="16038"/>
      <c r="J159" s="16048"/>
      <c r="K159" s="16041"/>
      <c r="L159" s="16001"/>
      <c r="M159" s="16001"/>
      <c r="N159" s="16053"/>
      <c r="O159" s="15978"/>
      <c r="P159" s="234"/>
      <c r="Q159" s="235"/>
      <c r="R159" s="235" t="s">
        <v>290</v>
      </c>
      <c r="S159" s="1706"/>
      <c r="T159" s="1706"/>
      <c r="U159" s="1706"/>
      <c r="V159" s="1706"/>
      <c r="W159" s="1309"/>
      <c r="X159" s="1854"/>
      <c r="Y159" s="1142"/>
      <c r="Z159" s="1142"/>
      <c r="AA159" s="1142"/>
      <c r="AB159" s="1142"/>
      <c r="AC159" s="1142"/>
      <c r="AD159" s="1142"/>
      <c r="AE159" s="1142"/>
      <c r="AF159" s="1142"/>
      <c r="AG159" s="1142"/>
      <c r="AH159" s="1142"/>
      <c r="AI159" s="1142"/>
      <c r="AJ159" s="1142"/>
      <c r="AK159" s="1142"/>
      <c r="AL159" s="1854"/>
      <c r="AM159" s="1854"/>
      <c r="AN159" s="1854"/>
      <c r="AO159" s="1854"/>
      <c r="AP159" s="1854"/>
      <c r="AQ159" s="1854"/>
    </row>
    <row r="160" spans="1:43" ht="17.25" customHeight="1">
      <c r="A160" s="1700"/>
      <c r="B160" s="1854"/>
      <c r="C160" s="1702"/>
      <c r="D160" s="16038"/>
      <c r="E160" s="16039"/>
      <c r="F160" s="16011"/>
      <c r="G160" s="16041"/>
      <c r="H160" s="16038"/>
      <c r="I160" s="16038"/>
      <c r="J160" s="16048"/>
      <c r="K160" s="16041"/>
      <c r="L160" s="15974" t="s">
        <v>103</v>
      </c>
      <c r="M160" s="15974" t="s">
        <v>136</v>
      </c>
      <c r="N160" s="16051" t="str">
        <f>IF(Z160="","",INDEX(TERRITORY_MR_LIST,MATCH(Z160,TERRITORY_LIST_ID,0)))</f>
        <v>Территория 9</v>
      </c>
      <c r="O160" s="16044" t="s">
        <v>66</v>
      </c>
      <c r="P160" s="15974"/>
      <c r="Q160" s="15974" t="s">
        <v>147</v>
      </c>
      <c r="R160" s="16046" t="s">
        <v>322</v>
      </c>
      <c r="S160" s="16050" t="s">
        <v>56</v>
      </c>
      <c r="T160" s="1664"/>
      <c r="U160" s="1664" t="s">
        <v>147</v>
      </c>
      <c r="V160" s="1310"/>
      <c r="W160" s="16043" t="s">
        <v>328</v>
      </c>
      <c r="X160" s="1854"/>
      <c r="Y160" s="1149"/>
      <c r="Z160" s="1149" t="s">
        <v>137</v>
      </c>
      <c r="AA160" s="1149"/>
      <c r="AB160" s="1149"/>
      <c r="AC160" s="1855" t="s">
        <v>283</v>
      </c>
      <c r="AD160" s="1855" t="s">
        <v>329</v>
      </c>
      <c r="AE160" s="1149" t="s">
        <v>356</v>
      </c>
      <c r="AF160" s="1149" t="s">
        <v>357</v>
      </c>
      <c r="AG160" s="1149" t="s">
        <v>358</v>
      </c>
      <c r="AH160" s="1149" t="str">
        <f>IF($E$100=0,"",$E$100)</f>
        <v>Тариф на горячую воду (горячее водоснабжение)</v>
      </c>
      <c r="AI160" s="1149" t="str">
        <f>IF($G$100=0,"",$G$100)</f>
        <v>Горячее водоснабжение</v>
      </c>
      <c r="AJ160" s="1149" t="str">
        <f>IF($J$134=0,"",$J$134)</f>
        <v>Тариф на горячую воду в закрытой системе горячего водоснабжения, поставляемую потребителям</v>
      </c>
      <c r="AK160" s="1149" t="str">
        <f>IF($K$160="нет","без дифференциации",IF($N$160=0,"",$N$160))</f>
        <v>Территория 9</v>
      </c>
      <c r="AL160" s="1704" t="str">
        <f>IF($O$160="нет","без дифференциации",IF($R$160=0,"",$R$160))</f>
        <v>н.п. Лейпи</v>
      </c>
      <c r="AM160" s="1704"/>
      <c r="AN160" s="1149" t="str">
        <f>$I$134</f>
        <v>2</v>
      </c>
      <c r="AO160" s="1149" t="str">
        <f>$I$134&amp;"."&amp;$M$160</f>
        <v>2.9</v>
      </c>
      <c r="AP160" s="1149" t="str">
        <f>$I$134&amp;"."&amp;$M$160&amp;"."&amp;$Q$160</f>
        <v>2.9.1</v>
      </c>
      <c r="AQ160" s="1149"/>
    </row>
    <row r="161" spans="1:43" ht="17.25" customHeight="1">
      <c r="A161" s="1700"/>
      <c r="B161" s="1854"/>
      <c r="C161" s="1705"/>
      <c r="D161" s="16038"/>
      <c r="E161" s="16039"/>
      <c r="F161" s="16011"/>
      <c r="G161" s="16041"/>
      <c r="H161" s="16038"/>
      <c r="I161" s="16038"/>
      <c r="J161" s="16048"/>
      <c r="K161" s="16041"/>
      <c r="L161" s="15974"/>
      <c r="M161" s="15974"/>
      <c r="N161" s="16051"/>
      <c r="O161" s="16045"/>
      <c r="P161" s="15974"/>
      <c r="Q161" s="15974"/>
      <c r="R161" s="16046"/>
      <c r="S161" s="16050"/>
      <c r="T161" s="1311"/>
      <c r="U161" s="1312"/>
      <c r="V161" s="1312"/>
      <c r="W161" s="16043"/>
      <c r="X161" s="1854"/>
      <c r="Y161" s="1142"/>
      <c r="Z161" s="1142"/>
      <c r="AA161" s="1142"/>
      <c r="AB161" s="1142"/>
      <c r="AC161" s="1142"/>
      <c r="AD161" s="1142"/>
      <c r="AE161" s="1142"/>
      <c r="AF161" s="1142"/>
      <c r="AG161" s="1142"/>
      <c r="AH161" s="1142"/>
      <c r="AI161" s="1142"/>
      <c r="AJ161" s="1142"/>
      <c r="AK161" s="1142"/>
      <c r="AL161" s="1854"/>
      <c r="AM161" s="1854"/>
      <c r="AN161" s="1854"/>
      <c r="AO161" s="1854"/>
      <c r="AP161" s="1854"/>
      <c r="AQ161" s="1854"/>
    </row>
    <row r="162" spans="1:43" ht="17.25" customHeight="1">
      <c r="A162" s="1700"/>
      <c r="B162" s="1854"/>
      <c r="C162" s="1705"/>
      <c r="D162" s="16038"/>
      <c r="E162" s="16039"/>
      <c r="F162" s="16011"/>
      <c r="G162" s="16041"/>
      <c r="H162" s="16038"/>
      <c r="I162" s="16038"/>
      <c r="J162" s="16048"/>
      <c r="K162" s="16041"/>
      <c r="L162" s="16001"/>
      <c r="M162" s="16001"/>
      <c r="N162" s="16053"/>
      <c r="O162" s="15978"/>
      <c r="P162" s="234"/>
      <c r="Q162" s="235"/>
      <c r="R162" s="235" t="s">
        <v>290</v>
      </c>
      <c r="S162" s="1706"/>
      <c r="T162" s="1706"/>
      <c r="U162" s="1706"/>
      <c r="V162" s="1706"/>
      <c r="W162" s="1309"/>
      <c r="X162" s="1854"/>
      <c r="Y162" s="1142"/>
      <c r="Z162" s="1142"/>
      <c r="AA162" s="1142"/>
      <c r="AB162" s="1142"/>
      <c r="AC162" s="1142"/>
      <c r="AD162" s="1142"/>
      <c r="AE162" s="1142"/>
      <c r="AF162" s="1142"/>
      <c r="AG162" s="1142"/>
      <c r="AH162" s="1142"/>
      <c r="AI162" s="1142"/>
      <c r="AJ162" s="1142"/>
      <c r="AK162" s="1142"/>
      <c r="AL162" s="1854"/>
      <c r="AM162" s="1854"/>
      <c r="AN162" s="1854"/>
      <c r="AO162" s="1854"/>
      <c r="AP162" s="1854"/>
      <c r="AQ162" s="1854"/>
    </row>
    <row r="163" spans="1:43" ht="17.25" customHeight="1">
      <c r="A163" s="1700"/>
      <c r="B163" s="1854"/>
      <c r="C163" s="1705"/>
      <c r="D163" s="16038"/>
      <c r="E163" s="16039"/>
      <c r="F163" s="16011"/>
      <c r="G163" s="16041"/>
      <c r="H163" s="16001"/>
      <c r="I163" s="16001"/>
      <c r="J163" s="16049"/>
      <c r="K163" s="15978"/>
      <c r="L163" s="234"/>
      <c r="M163" s="235"/>
      <c r="N163" s="235" t="s">
        <v>326</v>
      </c>
      <c r="O163" s="235"/>
      <c r="P163" s="235"/>
      <c r="Q163" s="235"/>
      <c r="R163" s="235"/>
      <c r="S163" s="1706"/>
      <c r="T163" s="1706"/>
      <c r="U163" s="1706"/>
      <c r="V163" s="1706"/>
      <c r="W163" s="236"/>
      <c r="X163" s="1854"/>
      <c r="Y163" s="1142"/>
      <c r="Z163" s="1142"/>
      <c r="AA163" s="1142"/>
      <c r="AB163" s="1142"/>
      <c r="AC163" s="1142"/>
      <c r="AD163" s="1142"/>
      <c r="AE163" s="1142"/>
      <c r="AF163" s="1142"/>
      <c r="AG163" s="1142"/>
      <c r="AH163" s="1142"/>
      <c r="AI163" s="1142"/>
      <c r="AJ163" s="1142"/>
      <c r="AK163" s="1142"/>
      <c r="AL163" s="1854"/>
      <c r="AM163" s="1854"/>
      <c r="AN163" s="1854"/>
      <c r="AO163" s="1854"/>
      <c r="AP163" s="1854"/>
      <c r="AQ163" s="1854"/>
    </row>
    <row r="164" spans="1:43" ht="17.25" customHeight="1">
      <c r="A164" s="1700"/>
      <c r="B164" s="10488"/>
      <c r="C164" s="1702"/>
      <c r="D164" s="16038"/>
      <c r="E164" s="16039"/>
      <c r="F164" s="16011"/>
      <c r="G164" s="16041"/>
      <c r="H164" s="16047" t="s">
        <v>103</v>
      </c>
      <c r="I164" s="16047" t="s">
        <v>89</v>
      </c>
      <c r="J164" s="16043" t="s">
        <v>359</v>
      </c>
      <c r="K164" s="16044" t="s">
        <v>66</v>
      </c>
      <c r="L164" s="15974"/>
      <c r="M164" s="15974" t="s">
        <v>147</v>
      </c>
      <c r="N164" s="16051" t="str">
        <f>IF(Z164="","",INDEX(TERRITORY_MR_LIST,MATCH(Z164,TERRITORY_LIST_ID,0)))</f>
        <v>Территория 1</v>
      </c>
      <c r="O164" s="16044" t="s">
        <v>66</v>
      </c>
      <c r="P164" s="15974"/>
      <c r="Q164" s="15974" t="s">
        <v>147</v>
      </c>
      <c r="R164" s="16046" t="s">
        <v>280</v>
      </c>
      <c r="S164" s="16050" t="s">
        <v>56</v>
      </c>
      <c r="T164" s="1664"/>
      <c r="U164" s="1664" t="s">
        <v>147</v>
      </c>
      <c r="V164" s="1310"/>
      <c r="W164" s="16043" t="s">
        <v>328</v>
      </c>
      <c r="X164" s="10488"/>
      <c r="Y164" s="1149"/>
      <c r="Z164" s="1149" t="s">
        <v>97</v>
      </c>
      <c r="AA164" s="1149"/>
      <c r="AB164" s="1149"/>
      <c r="AC164" s="10489" t="s">
        <v>283</v>
      </c>
      <c r="AD164" s="1149" t="s">
        <v>360</v>
      </c>
      <c r="AE164" s="1149" t="s">
        <v>361</v>
      </c>
      <c r="AF164" s="1149" t="s">
        <v>362</v>
      </c>
      <c r="AG164" s="1149" t="s">
        <v>363</v>
      </c>
      <c r="AH164" s="1149" t="str">
        <f>IF($E$100=0,"",$E$100)</f>
        <v>Тариф на горячую воду (горячее водоснабжение)</v>
      </c>
      <c r="AI164" s="1149" t="str">
        <f>IF($G$100=0,"",$G$100)</f>
        <v>Горячее водоснабжение</v>
      </c>
      <c r="AJ164" s="1149" t="str">
        <f>IF($J$164=0,"",$J$164)</f>
        <v>Тариф на горячую воду в закрытой системе горячего водоснабжения, поставляемую группе потребителей "потребители (кроме населения)"</v>
      </c>
      <c r="AK164" s="1149" t="str">
        <f>IF($K$164="нет","без дифференциации",IF($N$164=0,"",$N$164))</f>
        <v>Территория 1</v>
      </c>
      <c r="AL164" s="1704" t="str">
        <f>IF($O$164="нет","без дифференциации",IF($R$164=0,"",$R$164))</f>
        <v>городской округ город-герой Мурманск (р-н Росляково)</v>
      </c>
      <c r="AM164" s="1704"/>
      <c r="AN164" s="1149" t="str">
        <f>$I$164</f>
        <v>3</v>
      </c>
      <c r="AO164" s="1149" t="str">
        <f>$I$164&amp;"."&amp;$M$164</f>
        <v>3.1</v>
      </c>
      <c r="AP164" s="1149" t="str">
        <f>$I$164&amp;"."&amp;$M$164&amp;"."&amp;$Q$164</f>
        <v>3.1.1</v>
      </c>
      <c r="AQ164" s="1149"/>
    </row>
    <row r="165" spans="1:43" ht="17.25" customHeight="1">
      <c r="A165" s="1700"/>
      <c r="B165" s="10488"/>
      <c r="C165" s="1705"/>
      <c r="D165" s="16038"/>
      <c r="E165" s="16039"/>
      <c r="F165" s="16011"/>
      <c r="G165" s="16041"/>
      <c r="H165" s="16047"/>
      <c r="I165" s="16047"/>
      <c r="J165" s="16043"/>
      <c r="K165" s="16045"/>
      <c r="L165" s="15974"/>
      <c r="M165" s="15974"/>
      <c r="N165" s="16051"/>
      <c r="O165" s="16045"/>
      <c r="P165" s="15974"/>
      <c r="Q165" s="15974"/>
      <c r="R165" s="16046"/>
      <c r="S165" s="16050"/>
      <c r="T165" s="1311"/>
      <c r="U165" s="1312"/>
      <c r="V165" s="1312"/>
      <c r="W165" s="16043"/>
      <c r="X165" s="10488"/>
      <c r="Y165" s="1142"/>
      <c r="Z165" s="1142"/>
      <c r="AA165" s="1142"/>
      <c r="AB165" s="1142"/>
      <c r="AC165" s="1142"/>
      <c r="AD165" s="1142"/>
      <c r="AE165" s="1142"/>
      <c r="AF165" s="1142"/>
      <c r="AG165" s="1142"/>
      <c r="AH165" s="1142"/>
      <c r="AI165" s="1142"/>
      <c r="AJ165" s="1142"/>
      <c r="AK165" s="1142"/>
      <c r="AL165" s="10488"/>
      <c r="AM165" s="10488"/>
      <c r="AN165" s="10488"/>
      <c r="AO165" s="10488"/>
      <c r="AP165" s="10488"/>
      <c r="AQ165" s="10488"/>
    </row>
    <row r="166" spans="1:43" ht="17.25" customHeight="1">
      <c r="A166" s="1700"/>
      <c r="B166" s="10488"/>
      <c r="C166" s="1702"/>
      <c r="D166" s="16038"/>
      <c r="E166" s="16039"/>
      <c r="F166" s="16011"/>
      <c r="G166" s="16041"/>
      <c r="H166" s="16038"/>
      <c r="I166" s="16038"/>
      <c r="J166" s="16048"/>
      <c r="K166" s="16041"/>
      <c r="L166" s="16038"/>
      <c r="M166" s="16038"/>
      <c r="N166" s="16052"/>
      <c r="O166" s="16045"/>
      <c r="P166" s="15974" t="s">
        <v>103</v>
      </c>
      <c r="Q166" s="15974" t="s">
        <v>102</v>
      </c>
      <c r="R166" s="16046" t="s">
        <v>287</v>
      </c>
      <c r="S166" s="16050" t="s">
        <v>56</v>
      </c>
      <c r="T166" s="1664"/>
      <c r="U166" s="1664" t="s">
        <v>147</v>
      </c>
      <c r="V166" s="1310"/>
      <c r="W166" s="16043" t="s">
        <v>328</v>
      </c>
      <c r="X166" s="10488"/>
      <c r="Y166" s="1149"/>
      <c r="Z166" s="1149"/>
      <c r="AA166" s="1149"/>
      <c r="AB166" s="1149"/>
      <c r="AC166" s="10489" t="s">
        <v>283</v>
      </c>
      <c r="AD166" s="10489" t="s">
        <v>360</v>
      </c>
      <c r="AE166" s="10489" t="s">
        <v>361</v>
      </c>
      <c r="AF166" s="1149" t="s">
        <v>364</v>
      </c>
      <c r="AG166" s="1149" t="s">
        <v>365</v>
      </c>
      <c r="AH166" s="1149" t="str">
        <f>IF($E$100=0,"",$E$100)</f>
        <v>Тариф на горячую воду (горячее водоснабжение)</v>
      </c>
      <c r="AI166" s="1149" t="str">
        <f>IF($G$100=0,"",$G$100)</f>
        <v>Горячее водоснабжение</v>
      </c>
      <c r="AJ166" s="1149" t="str">
        <f>IF($J$164=0,"",$J$164)</f>
        <v>Тариф на горячую воду в закрытой системе горячего водоснабжения, поставляемую группе потребителей "потребители (кроме населения)"</v>
      </c>
      <c r="AK166" s="1149" t="str">
        <f>IF($K$164="нет","без дифференциации",IF($N$164=0,"",$N$164))</f>
        <v>Территория 1</v>
      </c>
      <c r="AL166" s="1704" t="str">
        <f>IF($O$166="нет","без дифференциации",IF($R$166=0,"",$R$166))</f>
        <v>городской округ город-герой Мурманск (потребители котельной ул. Фестивальная)</v>
      </c>
      <c r="AM166" s="1704"/>
      <c r="AN166" s="1149" t="str">
        <f>$I$164</f>
        <v>3</v>
      </c>
      <c r="AO166" s="1149" t="str">
        <f>$I$164&amp;"."&amp;$M$164</f>
        <v>3.1</v>
      </c>
      <c r="AP166" s="1149" t="str">
        <f>$I$164&amp;"."&amp;$M$164&amp;"."&amp;$Q$166</f>
        <v>3.1.2</v>
      </c>
      <c r="AQ166" s="1149"/>
    </row>
    <row r="167" spans="1:43" ht="17.25" customHeight="1">
      <c r="A167" s="1700"/>
      <c r="B167" s="10488"/>
      <c r="C167" s="1705"/>
      <c r="D167" s="16038"/>
      <c r="E167" s="16039"/>
      <c r="F167" s="16011"/>
      <c r="G167" s="16041"/>
      <c r="H167" s="16038"/>
      <c r="I167" s="16038"/>
      <c r="J167" s="16048"/>
      <c r="K167" s="16041"/>
      <c r="L167" s="16038"/>
      <c r="M167" s="16038"/>
      <c r="N167" s="16052"/>
      <c r="O167" s="16045"/>
      <c r="P167" s="15974"/>
      <c r="Q167" s="15974"/>
      <c r="R167" s="16046"/>
      <c r="S167" s="16050"/>
      <c r="T167" s="1311"/>
      <c r="U167" s="1312"/>
      <c r="V167" s="1312"/>
      <c r="W167" s="16043"/>
      <c r="X167" s="10488"/>
      <c r="Y167" s="1142"/>
      <c r="Z167" s="1142"/>
      <c r="AA167" s="1142"/>
      <c r="AB167" s="1142"/>
      <c r="AC167" s="1142"/>
      <c r="AD167" s="1142"/>
      <c r="AE167" s="1142"/>
      <c r="AF167" s="1142"/>
      <c r="AG167" s="1142"/>
      <c r="AH167" s="1142"/>
      <c r="AI167" s="1142"/>
      <c r="AJ167" s="1142"/>
      <c r="AK167" s="1142"/>
      <c r="AL167" s="10488"/>
      <c r="AM167" s="10488"/>
      <c r="AN167" s="10488"/>
      <c r="AO167" s="10488"/>
      <c r="AP167" s="10488"/>
      <c r="AQ167" s="10488"/>
    </row>
    <row r="168" spans="1:43" ht="17.25" customHeight="1">
      <c r="A168" s="1700"/>
      <c r="B168" s="10488"/>
      <c r="C168" s="1705"/>
      <c r="D168" s="16038"/>
      <c r="E168" s="16039"/>
      <c r="F168" s="16011"/>
      <c r="G168" s="16041"/>
      <c r="H168" s="16001"/>
      <c r="I168" s="16001"/>
      <c r="J168" s="16049"/>
      <c r="K168" s="16045"/>
      <c r="L168" s="16001"/>
      <c r="M168" s="16001"/>
      <c r="N168" s="16053"/>
      <c r="O168" s="15978"/>
      <c r="P168" s="234"/>
      <c r="Q168" s="235"/>
      <c r="R168" s="235" t="s">
        <v>290</v>
      </c>
      <c r="S168" s="1706"/>
      <c r="T168" s="1706"/>
      <c r="U168" s="1706"/>
      <c r="V168" s="1706"/>
      <c r="W168" s="1309"/>
      <c r="X168" s="10488"/>
      <c r="Y168" s="1142"/>
      <c r="Z168" s="1142"/>
      <c r="AA168" s="1142"/>
      <c r="AB168" s="1142"/>
      <c r="AC168" s="1142"/>
      <c r="AD168" s="1142"/>
      <c r="AE168" s="1142"/>
      <c r="AF168" s="1142"/>
      <c r="AG168" s="1142"/>
      <c r="AH168" s="1142"/>
      <c r="AI168" s="1142"/>
      <c r="AJ168" s="1142"/>
      <c r="AK168" s="1142"/>
      <c r="AL168" s="10488"/>
      <c r="AM168" s="10488"/>
      <c r="AN168" s="10488"/>
      <c r="AO168" s="10488"/>
      <c r="AP168" s="10488"/>
      <c r="AQ168" s="10488"/>
    </row>
    <row r="169" spans="1:43" ht="17.25" customHeight="1">
      <c r="A169" s="1700"/>
      <c r="B169" s="10488"/>
      <c r="C169" s="1702"/>
      <c r="D169" s="16038"/>
      <c r="E169" s="16039"/>
      <c r="F169" s="16011"/>
      <c r="G169" s="16041"/>
      <c r="H169" s="16038"/>
      <c r="I169" s="16038"/>
      <c r="J169" s="16048"/>
      <c r="K169" s="16041"/>
      <c r="L169" s="15974" t="s">
        <v>103</v>
      </c>
      <c r="M169" s="15974" t="s">
        <v>102</v>
      </c>
      <c r="N169" s="16051" t="str">
        <f>IF(Z169="","",INDEX(TERRITORY_MR_LIST,MATCH(Z169,TERRITORY_LIST_ID,0)))</f>
        <v>Территория 2</v>
      </c>
      <c r="O169" s="16044" t="s">
        <v>56</v>
      </c>
      <c r="P169" s="15974"/>
      <c r="Q169" s="15974" t="s">
        <v>147</v>
      </c>
      <c r="R169" s="16054" t="s">
        <v>24</v>
      </c>
      <c r="S169" s="16050" t="s">
        <v>56</v>
      </c>
      <c r="T169" s="1664"/>
      <c r="U169" s="1664" t="s">
        <v>147</v>
      </c>
      <c r="V169" s="1310"/>
      <c r="W169" s="16043" t="s">
        <v>328</v>
      </c>
      <c r="X169" s="10488"/>
      <c r="Y169" s="1149"/>
      <c r="Z169" s="1149" t="s">
        <v>104</v>
      </c>
      <c r="AA169" s="1149"/>
      <c r="AB169" s="1149"/>
      <c r="AC169" s="10489" t="s">
        <v>283</v>
      </c>
      <c r="AD169" s="10489" t="s">
        <v>360</v>
      </c>
      <c r="AE169" s="1149" t="s">
        <v>366</v>
      </c>
      <c r="AF169" s="1149" t="s">
        <v>367</v>
      </c>
      <c r="AG169" s="1149" t="s">
        <v>368</v>
      </c>
      <c r="AH169" s="1149" t="str">
        <f>IF($E$100=0,"",$E$100)</f>
        <v>Тариф на горячую воду (горячее водоснабжение)</v>
      </c>
      <c r="AI169" s="1149" t="str">
        <f>IF($G$100=0,"",$G$100)</f>
        <v>Горячее водоснабжение</v>
      </c>
      <c r="AJ169" s="1149" t="str">
        <f>IF($J$164=0,"",$J$164)</f>
        <v>Тариф на горячую воду в закрытой системе горячего водоснабжения, поставляемую группе потребителей "потребители (кроме населения)"</v>
      </c>
      <c r="AK169" s="1149" t="str">
        <f>IF($K$169="нет","без дифференциации",IF($N$169=0,"",$N$169))</f>
        <v>Территория 2</v>
      </c>
      <c r="AL169" s="1704" t="str">
        <f>IF($O$169="нет","без дифференциации",IF($R$169=0,"",$R$169))</f>
        <v>без дифференциации</v>
      </c>
      <c r="AM169" s="1704"/>
      <c r="AN169" s="1149" t="str">
        <f>$I$164</f>
        <v>3</v>
      </c>
      <c r="AO169" s="1149" t="str">
        <f>$I$164&amp;"."&amp;$M$169</f>
        <v>3.2</v>
      </c>
      <c r="AP169" s="1149" t="str">
        <f>$I$164&amp;"."&amp;$M$169&amp;"."&amp;$Q$169</f>
        <v>3.2.1</v>
      </c>
      <c r="AQ169" s="1149"/>
    </row>
    <row r="170" spans="1:43" ht="17.25" customHeight="1">
      <c r="A170" s="1700"/>
      <c r="B170" s="10488"/>
      <c r="C170" s="1705"/>
      <c r="D170" s="16038"/>
      <c r="E170" s="16039"/>
      <c r="F170" s="16011"/>
      <c r="G170" s="16041"/>
      <c r="H170" s="16038"/>
      <c r="I170" s="16038"/>
      <c r="J170" s="16048"/>
      <c r="K170" s="16041"/>
      <c r="L170" s="15974"/>
      <c r="M170" s="15974"/>
      <c r="N170" s="16051"/>
      <c r="O170" s="16045"/>
      <c r="P170" s="15974"/>
      <c r="Q170" s="15974"/>
      <c r="R170" s="16054" t="s">
        <v>24</v>
      </c>
      <c r="S170" s="16050"/>
      <c r="T170" s="1311"/>
      <c r="U170" s="1312"/>
      <c r="V170" s="1312"/>
      <c r="W170" s="16043"/>
      <c r="X170" s="10488"/>
      <c r="Y170" s="1142"/>
      <c r="Z170" s="1142"/>
      <c r="AA170" s="1142"/>
      <c r="AB170" s="1142"/>
      <c r="AC170" s="1142"/>
      <c r="AD170" s="1142"/>
      <c r="AE170" s="1142"/>
      <c r="AF170" s="1142"/>
      <c r="AG170" s="1142"/>
      <c r="AH170" s="1142"/>
      <c r="AI170" s="1142"/>
      <c r="AJ170" s="1142"/>
      <c r="AK170" s="1142"/>
      <c r="AL170" s="10488"/>
      <c r="AM170" s="10488"/>
      <c r="AN170" s="10488"/>
      <c r="AO170" s="10488"/>
      <c r="AP170" s="10488"/>
      <c r="AQ170" s="10488"/>
    </row>
    <row r="171" spans="1:43" ht="17.25" customHeight="1">
      <c r="A171" s="1700"/>
      <c r="B171" s="10488"/>
      <c r="C171" s="1705"/>
      <c r="D171" s="16038"/>
      <c r="E171" s="16039"/>
      <c r="F171" s="16011"/>
      <c r="G171" s="16041"/>
      <c r="H171" s="16038"/>
      <c r="I171" s="16038"/>
      <c r="J171" s="16048"/>
      <c r="K171" s="16041"/>
      <c r="L171" s="16001"/>
      <c r="M171" s="16001"/>
      <c r="N171" s="16053"/>
      <c r="O171" s="15978"/>
      <c r="P171" s="234"/>
      <c r="Q171" s="235"/>
      <c r="R171" s="235" t="s">
        <v>290</v>
      </c>
      <c r="S171" s="1706"/>
      <c r="T171" s="1706"/>
      <c r="U171" s="1706"/>
      <c r="V171" s="1706"/>
      <c r="W171" s="1309"/>
      <c r="X171" s="10488"/>
      <c r="Y171" s="1142"/>
      <c r="Z171" s="1142"/>
      <c r="AA171" s="1142"/>
      <c r="AB171" s="1142"/>
      <c r="AC171" s="1142"/>
      <c r="AD171" s="1142"/>
      <c r="AE171" s="1142"/>
      <c r="AF171" s="1142"/>
      <c r="AG171" s="1142"/>
      <c r="AH171" s="1142"/>
      <c r="AI171" s="1142"/>
      <c r="AJ171" s="1142"/>
      <c r="AK171" s="1142"/>
      <c r="AL171" s="10488"/>
      <c r="AM171" s="10488"/>
      <c r="AN171" s="10488"/>
      <c r="AO171" s="10488"/>
      <c r="AP171" s="10488"/>
      <c r="AQ171" s="10488"/>
    </row>
    <row r="172" spans="1:43" ht="17.25" customHeight="1">
      <c r="A172" s="1700"/>
      <c r="B172" s="10488"/>
      <c r="C172" s="1702"/>
      <c r="D172" s="16038"/>
      <c r="E172" s="16039"/>
      <c r="F172" s="16011"/>
      <c r="G172" s="16041"/>
      <c r="H172" s="16038"/>
      <c r="I172" s="16038"/>
      <c r="J172" s="16048"/>
      <c r="K172" s="16041"/>
      <c r="L172" s="15974" t="s">
        <v>103</v>
      </c>
      <c r="M172" s="15974" t="s">
        <v>89</v>
      </c>
      <c r="N172" s="16051" t="str">
        <f>IF(Z172="","",INDEX(TERRITORY_MR_LIST,MATCH(Z172,TERRITORY_LIST_ID,0)))</f>
        <v>Территория 3</v>
      </c>
      <c r="O172" s="16044" t="s">
        <v>66</v>
      </c>
      <c r="P172" s="15974"/>
      <c r="Q172" s="15974" t="s">
        <v>147</v>
      </c>
      <c r="R172" s="16046" t="s">
        <v>294</v>
      </c>
      <c r="S172" s="16050" t="s">
        <v>56</v>
      </c>
      <c r="T172" s="1664"/>
      <c r="U172" s="1664" t="s">
        <v>147</v>
      </c>
      <c r="V172" s="1310"/>
      <c r="W172" s="16043" t="s">
        <v>328</v>
      </c>
      <c r="X172" s="10488"/>
      <c r="Y172" s="1149"/>
      <c r="Z172" s="1149" t="s">
        <v>109</v>
      </c>
      <c r="AA172" s="1149"/>
      <c r="AB172" s="1149"/>
      <c r="AC172" s="10489" t="s">
        <v>283</v>
      </c>
      <c r="AD172" s="10489" t="s">
        <v>360</v>
      </c>
      <c r="AE172" s="1149" t="s">
        <v>369</v>
      </c>
      <c r="AF172" s="1149" t="s">
        <v>370</v>
      </c>
      <c r="AG172" s="1149" t="s">
        <v>371</v>
      </c>
      <c r="AH172" s="1149" t="str">
        <f>IF($E$100=0,"",$E$100)</f>
        <v>Тариф на горячую воду (горячее водоснабжение)</v>
      </c>
      <c r="AI172" s="1149" t="str">
        <f>IF($G$100=0,"",$G$100)</f>
        <v>Горячее водоснабжение</v>
      </c>
      <c r="AJ172" s="1149" t="str">
        <f>IF($J$164=0,"",$J$164)</f>
        <v>Тариф на горячую воду в закрытой системе горячего водоснабжения, поставляемую группе потребителей "потребители (кроме населения)"</v>
      </c>
      <c r="AK172" s="1149" t="str">
        <f>IF($K$172="нет","без дифференциации",IF($N$172=0,"",$N$172))</f>
        <v>Территория 3</v>
      </c>
      <c r="AL172" s="1704" t="str">
        <f>IF($O$172="нет","без дифференциации",IF($R$172=0,"",$R$172))</f>
        <v>н.п. Шонгуй</v>
      </c>
      <c r="AM172" s="1704"/>
      <c r="AN172" s="1149" t="str">
        <f>$I$164</f>
        <v>3</v>
      </c>
      <c r="AO172" s="1149" t="str">
        <f>$I$164&amp;"."&amp;$M$172</f>
        <v>3.3</v>
      </c>
      <c r="AP172" s="1149" t="str">
        <f>$I$164&amp;"."&amp;$M$172&amp;"."&amp;$Q$172</f>
        <v>3.3.1</v>
      </c>
      <c r="AQ172" s="1149"/>
    </row>
    <row r="173" spans="1:43" ht="17.25" customHeight="1">
      <c r="A173" s="1700"/>
      <c r="B173" s="10488"/>
      <c r="C173" s="1705"/>
      <c r="D173" s="16038"/>
      <c r="E173" s="16039"/>
      <c r="F173" s="16011"/>
      <c r="G173" s="16041"/>
      <c r="H173" s="16038"/>
      <c r="I173" s="16038"/>
      <c r="J173" s="16048"/>
      <c r="K173" s="16041"/>
      <c r="L173" s="15974"/>
      <c r="M173" s="15974"/>
      <c r="N173" s="16051"/>
      <c r="O173" s="16045"/>
      <c r="P173" s="15974"/>
      <c r="Q173" s="15974"/>
      <c r="R173" s="16046"/>
      <c r="S173" s="16050"/>
      <c r="T173" s="1311"/>
      <c r="U173" s="1312"/>
      <c r="V173" s="1312"/>
      <c r="W173" s="16043"/>
      <c r="X173" s="10488"/>
      <c r="Y173" s="1142"/>
      <c r="Z173" s="1142"/>
      <c r="AA173" s="1142"/>
      <c r="AB173" s="1142"/>
      <c r="AC173" s="1142"/>
      <c r="AD173" s="1142"/>
      <c r="AE173" s="1142"/>
      <c r="AF173" s="1142"/>
      <c r="AG173" s="1142"/>
      <c r="AH173" s="1142"/>
      <c r="AI173" s="1142"/>
      <c r="AJ173" s="1142"/>
      <c r="AK173" s="1142"/>
      <c r="AL173" s="10488"/>
      <c r="AM173" s="10488"/>
      <c r="AN173" s="10488"/>
      <c r="AO173" s="10488"/>
      <c r="AP173" s="10488"/>
      <c r="AQ173" s="10488"/>
    </row>
    <row r="174" spans="1:43" ht="17.25" customHeight="1">
      <c r="A174" s="1700"/>
      <c r="B174" s="10488"/>
      <c r="C174" s="1705"/>
      <c r="D174" s="16038"/>
      <c r="E174" s="16039"/>
      <c r="F174" s="16011"/>
      <c r="G174" s="16041"/>
      <c r="H174" s="16038"/>
      <c r="I174" s="16038"/>
      <c r="J174" s="16048"/>
      <c r="K174" s="16041"/>
      <c r="L174" s="16001"/>
      <c r="M174" s="16001"/>
      <c r="N174" s="16053"/>
      <c r="O174" s="15978"/>
      <c r="P174" s="234"/>
      <c r="Q174" s="235"/>
      <c r="R174" s="235" t="s">
        <v>290</v>
      </c>
      <c r="S174" s="1706"/>
      <c r="T174" s="1706"/>
      <c r="U174" s="1706"/>
      <c r="V174" s="1706"/>
      <c r="W174" s="1309"/>
      <c r="X174" s="10488"/>
      <c r="Y174" s="1142"/>
      <c r="Z174" s="1142"/>
      <c r="AA174" s="1142"/>
      <c r="AB174" s="1142"/>
      <c r="AC174" s="1142"/>
      <c r="AD174" s="1142"/>
      <c r="AE174" s="1142"/>
      <c r="AF174" s="1142"/>
      <c r="AG174" s="1142"/>
      <c r="AH174" s="1142"/>
      <c r="AI174" s="1142"/>
      <c r="AJ174" s="1142"/>
      <c r="AK174" s="1142"/>
      <c r="AL174" s="10488"/>
      <c r="AM174" s="10488"/>
      <c r="AN174" s="10488"/>
      <c r="AO174" s="10488"/>
      <c r="AP174" s="10488"/>
      <c r="AQ174" s="10488"/>
    </row>
    <row r="175" spans="1:43" ht="17.25" customHeight="1">
      <c r="A175" s="1700"/>
      <c r="B175" s="10488"/>
      <c r="C175" s="1702"/>
      <c r="D175" s="16038"/>
      <c r="E175" s="16039"/>
      <c r="F175" s="16011"/>
      <c r="G175" s="16041"/>
      <c r="H175" s="16038"/>
      <c r="I175" s="16038"/>
      <c r="J175" s="16048"/>
      <c r="K175" s="16041"/>
      <c r="L175" s="15974" t="s">
        <v>103</v>
      </c>
      <c r="M175" s="15974" t="s">
        <v>90</v>
      </c>
      <c r="N175" s="16051" t="str">
        <f>IF(Z175="","",INDEX(TERRITORY_MR_LIST,MATCH(Z175,TERRITORY_LIST_ID,0)))</f>
        <v>Территория 4</v>
      </c>
      <c r="O175" s="16044" t="s">
        <v>56</v>
      </c>
      <c r="P175" s="15974"/>
      <c r="Q175" s="15974" t="s">
        <v>147</v>
      </c>
      <c r="R175" s="16054" t="s">
        <v>24</v>
      </c>
      <c r="S175" s="16050" t="s">
        <v>56</v>
      </c>
      <c r="T175" s="1664"/>
      <c r="U175" s="1664" t="s">
        <v>147</v>
      </c>
      <c r="V175" s="1310"/>
      <c r="W175" s="16043" t="s">
        <v>328</v>
      </c>
      <c r="X175" s="10488"/>
      <c r="Y175" s="1149"/>
      <c r="Z175" s="1149" t="s">
        <v>113</v>
      </c>
      <c r="AA175" s="1149"/>
      <c r="AB175" s="1149"/>
      <c r="AC175" s="10489" t="s">
        <v>283</v>
      </c>
      <c r="AD175" s="10489" t="s">
        <v>360</v>
      </c>
      <c r="AE175" s="1149" t="s">
        <v>372</v>
      </c>
      <c r="AF175" s="1149" t="s">
        <v>373</v>
      </c>
      <c r="AG175" s="1149" t="s">
        <v>374</v>
      </c>
      <c r="AH175" s="1149" t="str">
        <f>IF($E$100=0,"",$E$100)</f>
        <v>Тариф на горячую воду (горячее водоснабжение)</v>
      </c>
      <c r="AI175" s="1149" t="str">
        <f>IF($G$100=0,"",$G$100)</f>
        <v>Горячее водоснабжение</v>
      </c>
      <c r="AJ175" s="1149" t="str">
        <f>IF($J$164=0,"",$J$164)</f>
        <v>Тариф на горячую воду в закрытой системе горячего водоснабжения, поставляемую группе потребителей "потребители (кроме населения)"</v>
      </c>
      <c r="AK175" s="1149" t="str">
        <f>IF($K$175="нет","без дифференциации",IF($N$175=0,"",$N$175))</f>
        <v>Территория 4</v>
      </c>
      <c r="AL175" s="1704" t="str">
        <f>IF($O$175="нет","без дифференциации",IF($R$175=0,"",$R$175))</f>
        <v>без дифференциации</v>
      </c>
      <c r="AM175" s="1704"/>
      <c r="AN175" s="1149" t="str">
        <f>$I$164</f>
        <v>3</v>
      </c>
      <c r="AO175" s="1149" t="str">
        <f>$I$164&amp;"."&amp;$M$175</f>
        <v>3.4</v>
      </c>
      <c r="AP175" s="1149" t="str">
        <f>$I$164&amp;"."&amp;$M$175&amp;"."&amp;$Q$175</f>
        <v>3.4.1</v>
      </c>
      <c r="AQ175" s="1149"/>
    </row>
    <row r="176" spans="1:43" ht="17.25" customHeight="1">
      <c r="A176" s="1700"/>
      <c r="B176" s="10488"/>
      <c r="C176" s="1705"/>
      <c r="D176" s="16038"/>
      <c r="E176" s="16039"/>
      <c r="F176" s="16011"/>
      <c r="G176" s="16041"/>
      <c r="H176" s="16038"/>
      <c r="I176" s="16038"/>
      <c r="J176" s="16048"/>
      <c r="K176" s="16041"/>
      <c r="L176" s="15974"/>
      <c r="M176" s="15974"/>
      <c r="N176" s="16051"/>
      <c r="O176" s="16045"/>
      <c r="P176" s="15974"/>
      <c r="Q176" s="15974"/>
      <c r="R176" s="16054" t="s">
        <v>24</v>
      </c>
      <c r="S176" s="16050"/>
      <c r="T176" s="1311"/>
      <c r="U176" s="1312"/>
      <c r="V176" s="1312"/>
      <c r="W176" s="16043"/>
      <c r="X176" s="10488"/>
      <c r="Y176" s="1142"/>
      <c r="Z176" s="1142"/>
      <c r="AA176" s="1142"/>
      <c r="AB176" s="1142"/>
      <c r="AC176" s="1142"/>
      <c r="AD176" s="1142"/>
      <c r="AE176" s="1142"/>
      <c r="AF176" s="1142"/>
      <c r="AG176" s="1142"/>
      <c r="AH176" s="1142"/>
      <c r="AI176" s="1142"/>
      <c r="AJ176" s="1142"/>
      <c r="AK176" s="1142"/>
      <c r="AL176" s="10488"/>
      <c r="AM176" s="10488"/>
      <c r="AN176" s="10488"/>
      <c r="AO176" s="10488"/>
      <c r="AP176" s="10488"/>
      <c r="AQ176" s="10488"/>
    </row>
    <row r="177" spans="1:43" ht="17.25" customHeight="1">
      <c r="A177" s="1700"/>
      <c r="B177" s="10488"/>
      <c r="C177" s="1705"/>
      <c r="D177" s="16038"/>
      <c r="E177" s="16039"/>
      <c r="F177" s="16011"/>
      <c r="G177" s="16041"/>
      <c r="H177" s="16038"/>
      <c r="I177" s="16038"/>
      <c r="J177" s="16048"/>
      <c r="K177" s="16041"/>
      <c r="L177" s="16001"/>
      <c r="M177" s="16001"/>
      <c r="N177" s="16053"/>
      <c r="O177" s="15978"/>
      <c r="P177" s="234"/>
      <c r="Q177" s="235"/>
      <c r="R177" s="235" t="s">
        <v>290</v>
      </c>
      <c r="S177" s="1706"/>
      <c r="T177" s="1706"/>
      <c r="U177" s="1706"/>
      <c r="V177" s="1706"/>
      <c r="W177" s="1309"/>
      <c r="X177" s="10488"/>
      <c r="Y177" s="1142"/>
      <c r="Z177" s="1142"/>
      <c r="AA177" s="1142"/>
      <c r="AB177" s="1142"/>
      <c r="AC177" s="1142"/>
      <c r="AD177" s="1142"/>
      <c r="AE177" s="1142"/>
      <c r="AF177" s="1142"/>
      <c r="AG177" s="1142"/>
      <c r="AH177" s="1142"/>
      <c r="AI177" s="1142"/>
      <c r="AJ177" s="1142"/>
      <c r="AK177" s="1142"/>
      <c r="AL177" s="10488"/>
      <c r="AM177" s="10488"/>
      <c r="AN177" s="10488"/>
      <c r="AO177" s="10488"/>
      <c r="AP177" s="10488"/>
      <c r="AQ177" s="10488"/>
    </row>
    <row r="178" spans="1:43" ht="17.25" customHeight="1">
      <c r="A178" s="1700"/>
      <c r="B178" s="10488"/>
      <c r="C178" s="1702"/>
      <c r="D178" s="16038"/>
      <c r="E178" s="16039"/>
      <c r="F178" s="16011"/>
      <c r="G178" s="16041"/>
      <c r="H178" s="16038"/>
      <c r="I178" s="16038"/>
      <c r="J178" s="16048"/>
      <c r="K178" s="16041"/>
      <c r="L178" s="15974" t="s">
        <v>103</v>
      </c>
      <c r="M178" s="15974" t="s">
        <v>117</v>
      </c>
      <c r="N178" s="16051" t="str">
        <f>IF(Z178="","",INDEX(TERRITORY_MR_LIST,MATCH(Z178,TERRITORY_LIST_ID,0)))</f>
        <v>Территория 5</v>
      </c>
      <c r="O178" s="16044" t="s">
        <v>66</v>
      </c>
      <c r="P178" s="15974"/>
      <c r="Q178" s="15974" t="s">
        <v>147</v>
      </c>
      <c r="R178" s="16046" t="s">
        <v>301</v>
      </c>
      <c r="S178" s="16050" t="s">
        <v>56</v>
      </c>
      <c r="T178" s="1664"/>
      <c r="U178" s="1664" t="s">
        <v>147</v>
      </c>
      <c r="V178" s="1310"/>
      <c r="W178" s="16043" t="s">
        <v>328</v>
      </c>
      <c r="X178" s="10488"/>
      <c r="Y178" s="1149"/>
      <c r="Z178" s="1149" t="s">
        <v>118</v>
      </c>
      <c r="AA178" s="1149"/>
      <c r="AB178" s="1149"/>
      <c r="AC178" s="10489" t="s">
        <v>283</v>
      </c>
      <c r="AD178" s="10489" t="s">
        <v>360</v>
      </c>
      <c r="AE178" s="1149" t="s">
        <v>375</v>
      </c>
      <c r="AF178" s="1149" t="s">
        <v>376</v>
      </c>
      <c r="AG178" s="1149" t="s">
        <v>377</v>
      </c>
      <c r="AH178" s="1149" t="str">
        <f>IF($E$100=0,"",$E$100)</f>
        <v>Тариф на горячую воду (горячее водоснабжение)</v>
      </c>
      <c r="AI178" s="1149" t="str">
        <f>IF($G$100=0,"",$G$100)</f>
        <v>Горячее водоснабжение</v>
      </c>
      <c r="AJ178" s="1149" t="str">
        <f>IF($J$164=0,"",$J$164)</f>
        <v>Тариф на горячую воду в закрытой системе горячего водоснабжения, поставляемую группе потребителей "потребители (кроме населения)"</v>
      </c>
      <c r="AK178" s="1149" t="str">
        <f>IF($K$178="нет","без дифференциации",IF($N$178=0,"",$N$178))</f>
        <v>Территория 5</v>
      </c>
      <c r="AL178" s="1704" t="str">
        <f>IF($O$178="нет","без дифференциации",IF($R$178=0,"",$R$178))</f>
        <v>с.п. Ловозеро</v>
      </c>
      <c r="AM178" s="1704"/>
      <c r="AN178" s="1149" t="str">
        <f>$I$164</f>
        <v>3</v>
      </c>
      <c r="AO178" s="1149" t="str">
        <f>$I$164&amp;"."&amp;$M$178</f>
        <v>3.5</v>
      </c>
      <c r="AP178" s="1149" t="str">
        <f>$I$164&amp;"."&amp;$M$178&amp;"."&amp;$Q$178</f>
        <v>3.5.1</v>
      </c>
      <c r="AQ178" s="1149"/>
    </row>
    <row r="179" spans="1:43" ht="17.25" customHeight="1">
      <c r="A179" s="1700"/>
      <c r="B179" s="10488"/>
      <c r="C179" s="1705"/>
      <c r="D179" s="16038"/>
      <c r="E179" s="16039"/>
      <c r="F179" s="16011"/>
      <c r="G179" s="16041"/>
      <c r="H179" s="16038"/>
      <c r="I179" s="16038"/>
      <c r="J179" s="16048"/>
      <c r="K179" s="16041"/>
      <c r="L179" s="15974"/>
      <c r="M179" s="15974"/>
      <c r="N179" s="16051"/>
      <c r="O179" s="16045"/>
      <c r="P179" s="15974"/>
      <c r="Q179" s="15974"/>
      <c r="R179" s="16046"/>
      <c r="S179" s="16050"/>
      <c r="T179" s="1311"/>
      <c r="U179" s="1312"/>
      <c r="V179" s="1312"/>
      <c r="W179" s="16043"/>
      <c r="X179" s="10488"/>
      <c r="Y179" s="1142"/>
      <c r="Z179" s="1142"/>
      <c r="AA179" s="1142"/>
      <c r="AB179" s="1142"/>
      <c r="AC179" s="1142"/>
      <c r="AD179" s="1142"/>
      <c r="AE179" s="1142"/>
      <c r="AF179" s="1142"/>
      <c r="AG179" s="1142"/>
      <c r="AH179" s="1142"/>
      <c r="AI179" s="1142"/>
      <c r="AJ179" s="1142"/>
      <c r="AK179" s="1142"/>
      <c r="AL179" s="10488"/>
      <c r="AM179" s="10488"/>
      <c r="AN179" s="10488"/>
      <c r="AO179" s="10488"/>
      <c r="AP179" s="10488"/>
      <c r="AQ179" s="10488"/>
    </row>
    <row r="180" spans="1:43" ht="17.25" customHeight="1">
      <c r="A180" s="1700"/>
      <c r="B180" s="10488"/>
      <c r="C180" s="1705"/>
      <c r="D180" s="16038"/>
      <c r="E180" s="16039"/>
      <c r="F180" s="16011"/>
      <c r="G180" s="16041"/>
      <c r="H180" s="16038"/>
      <c r="I180" s="16038"/>
      <c r="J180" s="16048"/>
      <c r="K180" s="16041"/>
      <c r="L180" s="16001"/>
      <c r="M180" s="16001"/>
      <c r="N180" s="16053"/>
      <c r="O180" s="15978"/>
      <c r="P180" s="234"/>
      <c r="Q180" s="235"/>
      <c r="R180" s="235" t="s">
        <v>290</v>
      </c>
      <c r="S180" s="1706"/>
      <c r="T180" s="1706"/>
      <c r="U180" s="1706"/>
      <c r="V180" s="1706"/>
      <c r="W180" s="1309"/>
      <c r="X180" s="10488"/>
      <c r="Y180" s="1142"/>
      <c r="Z180" s="1142"/>
      <c r="AA180" s="1142"/>
      <c r="AB180" s="1142"/>
      <c r="AC180" s="1142"/>
      <c r="AD180" s="1142"/>
      <c r="AE180" s="1142"/>
      <c r="AF180" s="1142"/>
      <c r="AG180" s="1142"/>
      <c r="AH180" s="1142"/>
      <c r="AI180" s="1142"/>
      <c r="AJ180" s="1142"/>
      <c r="AK180" s="1142"/>
      <c r="AL180" s="10488"/>
      <c r="AM180" s="10488"/>
      <c r="AN180" s="10488"/>
      <c r="AO180" s="10488"/>
      <c r="AP180" s="10488"/>
      <c r="AQ180" s="10488"/>
    </row>
    <row r="181" spans="1:43" ht="17.25" customHeight="1">
      <c r="A181" s="1700"/>
      <c r="B181" s="10488"/>
      <c r="C181" s="1702"/>
      <c r="D181" s="16038"/>
      <c r="E181" s="16039"/>
      <c r="F181" s="16011"/>
      <c r="G181" s="16041"/>
      <c r="H181" s="16038"/>
      <c r="I181" s="16038"/>
      <c r="J181" s="16048"/>
      <c r="K181" s="16041"/>
      <c r="L181" s="15974" t="s">
        <v>103</v>
      </c>
      <c r="M181" s="15974" t="s">
        <v>91</v>
      </c>
      <c r="N181" s="16051" t="str">
        <f>IF(Z181="","",INDEX(TERRITORY_MR_LIST,MATCH(Z181,TERRITORY_LIST_ID,0)))</f>
        <v>Территория 6</v>
      </c>
      <c r="O181" s="16044" t="s">
        <v>66</v>
      </c>
      <c r="P181" s="15974"/>
      <c r="Q181" s="15974" t="s">
        <v>147</v>
      </c>
      <c r="R181" s="16046" t="s">
        <v>305</v>
      </c>
      <c r="S181" s="16050" t="s">
        <v>56</v>
      </c>
      <c r="T181" s="1664"/>
      <c r="U181" s="1664" t="s">
        <v>147</v>
      </c>
      <c r="V181" s="1310"/>
      <c r="W181" s="16043" t="s">
        <v>328</v>
      </c>
      <c r="X181" s="10488"/>
      <c r="Y181" s="1149"/>
      <c r="Z181" s="1149" t="s">
        <v>123</v>
      </c>
      <c r="AA181" s="1149"/>
      <c r="AB181" s="1149"/>
      <c r="AC181" s="10489" t="s">
        <v>283</v>
      </c>
      <c r="AD181" s="10489" t="s">
        <v>360</v>
      </c>
      <c r="AE181" s="1149" t="s">
        <v>378</v>
      </c>
      <c r="AF181" s="1149" t="s">
        <v>379</v>
      </c>
      <c r="AG181" s="1149" t="s">
        <v>380</v>
      </c>
      <c r="AH181" s="1149" t="str">
        <f>IF($E$100=0,"",$E$100)</f>
        <v>Тариф на горячую воду (горячее водоснабжение)</v>
      </c>
      <c r="AI181" s="1149" t="str">
        <f>IF($G$100=0,"",$G$100)</f>
        <v>Горячее водоснабжение</v>
      </c>
      <c r="AJ181" s="1149" t="str">
        <f>IF($J$164=0,"",$J$164)</f>
        <v>Тариф на горячую воду в закрытой системе горячего водоснабжения, поставляемую группе потребителей "потребители (кроме населения)"</v>
      </c>
      <c r="AK181" s="1149" t="str">
        <f>IF($K$181="нет","без дифференциации",IF($N$181=0,"",$N$181))</f>
        <v>Территория 6</v>
      </c>
      <c r="AL181" s="1704" t="str">
        <f>IF($O$181="нет","без дифференциации",IF($R$181=0,"",$R$181))</f>
        <v>н.п. Высокий</v>
      </c>
      <c r="AM181" s="1704"/>
      <c r="AN181" s="1149" t="str">
        <f>$I$164</f>
        <v>3</v>
      </c>
      <c r="AO181" s="1149" t="str">
        <f>$I$164&amp;"."&amp;$M$181</f>
        <v>3.6</v>
      </c>
      <c r="AP181" s="1149" t="str">
        <f>$I$164&amp;"."&amp;$M$181&amp;"."&amp;$Q$181</f>
        <v>3.6.1</v>
      </c>
      <c r="AQ181" s="1149"/>
    </row>
    <row r="182" spans="1:43" ht="17.25" customHeight="1">
      <c r="A182" s="1700"/>
      <c r="B182" s="10488"/>
      <c r="C182" s="1705"/>
      <c r="D182" s="16038"/>
      <c r="E182" s="16039"/>
      <c r="F182" s="16011"/>
      <c r="G182" s="16041"/>
      <c r="H182" s="16038"/>
      <c r="I182" s="16038"/>
      <c r="J182" s="16048"/>
      <c r="K182" s="16041"/>
      <c r="L182" s="15974"/>
      <c r="M182" s="15974"/>
      <c r="N182" s="16051"/>
      <c r="O182" s="16045"/>
      <c r="P182" s="15974"/>
      <c r="Q182" s="15974"/>
      <c r="R182" s="16046"/>
      <c r="S182" s="16050"/>
      <c r="T182" s="1311"/>
      <c r="U182" s="1312"/>
      <c r="V182" s="1312"/>
      <c r="W182" s="16043"/>
      <c r="X182" s="10488"/>
      <c r="Y182" s="1142"/>
      <c r="Z182" s="1142"/>
      <c r="AA182" s="1142"/>
      <c r="AB182" s="1142"/>
      <c r="AC182" s="1142"/>
      <c r="AD182" s="1142"/>
      <c r="AE182" s="1142"/>
      <c r="AF182" s="1142"/>
      <c r="AG182" s="1142"/>
      <c r="AH182" s="1142"/>
      <c r="AI182" s="1142"/>
      <c r="AJ182" s="1142"/>
      <c r="AK182" s="1142"/>
      <c r="AL182" s="10488"/>
      <c r="AM182" s="10488"/>
      <c r="AN182" s="10488"/>
      <c r="AO182" s="10488"/>
      <c r="AP182" s="10488"/>
      <c r="AQ182" s="10488"/>
    </row>
    <row r="183" spans="1:43" ht="17.25" customHeight="1">
      <c r="A183" s="1700"/>
      <c r="B183" s="10488"/>
      <c r="C183" s="1705"/>
      <c r="D183" s="16038"/>
      <c r="E183" s="16039"/>
      <c r="F183" s="16011"/>
      <c r="G183" s="16041"/>
      <c r="H183" s="16038"/>
      <c r="I183" s="16038"/>
      <c r="J183" s="16048"/>
      <c r="K183" s="16041"/>
      <c r="L183" s="16001"/>
      <c r="M183" s="16001"/>
      <c r="N183" s="16053"/>
      <c r="O183" s="15978"/>
      <c r="P183" s="234"/>
      <c r="Q183" s="235"/>
      <c r="R183" s="235" t="s">
        <v>290</v>
      </c>
      <c r="S183" s="1706"/>
      <c r="T183" s="1706"/>
      <c r="U183" s="1706"/>
      <c r="V183" s="1706"/>
      <c r="W183" s="1309"/>
      <c r="X183" s="10488"/>
      <c r="Y183" s="1142"/>
      <c r="Z183" s="1142"/>
      <c r="AA183" s="1142"/>
      <c r="AB183" s="1142"/>
      <c r="AC183" s="1142"/>
      <c r="AD183" s="1142"/>
      <c r="AE183" s="1142"/>
      <c r="AF183" s="1142"/>
      <c r="AG183" s="1142"/>
      <c r="AH183" s="1142"/>
      <c r="AI183" s="1142"/>
      <c r="AJ183" s="1142"/>
      <c r="AK183" s="1142"/>
      <c r="AL183" s="10488"/>
      <c r="AM183" s="10488"/>
      <c r="AN183" s="10488"/>
      <c r="AO183" s="10488"/>
      <c r="AP183" s="10488"/>
      <c r="AQ183" s="10488"/>
    </row>
    <row r="184" spans="1:43" ht="17.25" customHeight="1">
      <c r="A184" s="1700"/>
      <c r="B184" s="10488"/>
      <c r="C184" s="1702"/>
      <c r="D184" s="16038"/>
      <c r="E184" s="16039"/>
      <c r="F184" s="16011"/>
      <c r="G184" s="16041"/>
      <c r="H184" s="16038"/>
      <c r="I184" s="16038"/>
      <c r="J184" s="16048"/>
      <c r="K184" s="16041"/>
      <c r="L184" s="15974" t="s">
        <v>103</v>
      </c>
      <c r="M184" s="15974" t="s">
        <v>92</v>
      </c>
      <c r="N184" s="16051" t="str">
        <f>IF(Z184="","",INDEX(TERRITORY_MR_LIST,MATCH(Z184,TERRITORY_LIST_ID,0)))</f>
        <v>Территория 7</v>
      </c>
      <c r="O184" s="16044" t="s">
        <v>56</v>
      </c>
      <c r="P184" s="15974"/>
      <c r="Q184" s="15974" t="s">
        <v>147</v>
      </c>
      <c r="R184" s="16054" t="s">
        <v>24</v>
      </c>
      <c r="S184" s="16050" t="s">
        <v>56</v>
      </c>
      <c r="T184" s="1664"/>
      <c r="U184" s="1664" t="s">
        <v>147</v>
      </c>
      <c r="V184" s="1310"/>
      <c r="W184" s="16043" t="s">
        <v>328</v>
      </c>
      <c r="X184" s="10488"/>
      <c r="Y184" s="1149"/>
      <c r="Z184" s="1149" t="s">
        <v>127</v>
      </c>
      <c r="AA184" s="1149"/>
      <c r="AB184" s="1149"/>
      <c r="AC184" s="10489" t="s">
        <v>283</v>
      </c>
      <c r="AD184" s="10489" t="s">
        <v>360</v>
      </c>
      <c r="AE184" s="1149" t="s">
        <v>381</v>
      </c>
      <c r="AF184" s="1149" t="s">
        <v>382</v>
      </c>
      <c r="AG184" s="1149" t="s">
        <v>383</v>
      </c>
      <c r="AH184" s="1149" t="str">
        <f>IF($E$100=0,"",$E$100)</f>
        <v>Тариф на горячую воду (горячее водоснабжение)</v>
      </c>
      <c r="AI184" s="1149" t="str">
        <f>IF($G$100=0,"",$G$100)</f>
        <v>Горячее водоснабжение</v>
      </c>
      <c r="AJ184" s="1149" t="str">
        <f>IF($J$164=0,"",$J$164)</f>
        <v>Тариф на горячую воду в закрытой системе горячего водоснабжения, поставляемую группе потребителей "потребители (кроме населения)"</v>
      </c>
      <c r="AK184" s="1149" t="str">
        <f>IF($K$184="нет","без дифференциации",IF($N$184=0,"",$N$184))</f>
        <v>Территория 7</v>
      </c>
      <c r="AL184" s="1704" t="str">
        <f>IF($O$184="нет","без дифференциации",IF($R$184=0,"",$R$184))</f>
        <v>без дифференциации</v>
      </c>
      <c r="AM184" s="1704"/>
      <c r="AN184" s="1149" t="str">
        <f>$I$164</f>
        <v>3</v>
      </c>
      <c r="AO184" s="1149" t="str">
        <f>$I$164&amp;"."&amp;$M$184</f>
        <v>3.7</v>
      </c>
      <c r="AP184" s="1149" t="str">
        <f>$I$164&amp;"."&amp;$M$184&amp;"."&amp;$Q$184</f>
        <v>3.7.1</v>
      </c>
      <c r="AQ184" s="1149"/>
    </row>
    <row r="185" spans="1:43" ht="17.25" customHeight="1">
      <c r="A185" s="1700"/>
      <c r="B185" s="10488"/>
      <c r="C185" s="1705"/>
      <c r="D185" s="16038"/>
      <c r="E185" s="16039"/>
      <c r="F185" s="16011"/>
      <c r="G185" s="16041"/>
      <c r="H185" s="16038"/>
      <c r="I185" s="16038"/>
      <c r="J185" s="16048"/>
      <c r="K185" s="16041"/>
      <c r="L185" s="15974"/>
      <c r="M185" s="15974"/>
      <c r="N185" s="16051"/>
      <c r="O185" s="16045"/>
      <c r="P185" s="15974"/>
      <c r="Q185" s="15974"/>
      <c r="R185" s="16054" t="s">
        <v>24</v>
      </c>
      <c r="S185" s="16050"/>
      <c r="T185" s="1311"/>
      <c r="U185" s="1312"/>
      <c r="V185" s="1312"/>
      <c r="W185" s="16043"/>
      <c r="X185" s="10488"/>
      <c r="Y185" s="1142"/>
      <c r="Z185" s="1142"/>
      <c r="AA185" s="1142"/>
      <c r="AB185" s="1142"/>
      <c r="AC185" s="1142"/>
      <c r="AD185" s="1142"/>
      <c r="AE185" s="1142"/>
      <c r="AF185" s="1142"/>
      <c r="AG185" s="1142"/>
      <c r="AH185" s="1142"/>
      <c r="AI185" s="1142"/>
      <c r="AJ185" s="1142"/>
      <c r="AK185" s="1142"/>
      <c r="AL185" s="10488"/>
      <c r="AM185" s="10488"/>
      <c r="AN185" s="10488"/>
      <c r="AO185" s="10488"/>
      <c r="AP185" s="10488"/>
      <c r="AQ185" s="10488"/>
    </row>
    <row r="186" spans="1:43" ht="17.25" customHeight="1">
      <c r="A186" s="1700"/>
      <c r="B186" s="10488"/>
      <c r="C186" s="1705"/>
      <c r="D186" s="16038"/>
      <c r="E186" s="16039"/>
      <c r="F186" s="16011"/>
      <c r="G186" s="16041"/>
      <c r="H186" s="16038"/>
      <c r="I186" s="16038"/>
      <c r="J186" s="16048"/>
      <c r="K186" s="16041"/>
      <c r="L186" s="16001"/>
      <c r="M186" s="16001"/>
      <c r="N186" s="16053"/>
      <c r="O186" s="15978"/>
      <c r="P186" s="234"/>
      <c r="Q186" s="235"/>
      <c r="R186" s="235" t="s">
        <v>290</v>
      </c>
      <c r="S186" s="1706"/>
      <c r="T186" s="1706"/>
      <c r="U186" s="1706"/>
      <c r="V186" s="1706"/>
      <c r="W186" s="1309"/>
      <c r="X186" s="10488"/>
      <c r="Y186" s="1142"/>
      <c r="Z186" s="1142"/>
      <c r="AA186" s="1142"/>
      <c r="AB186" s="1142"/>
      <c r="AC186" s="1142"/>
      <c r="AD186" s="1142"/>
      <c r="AE186" s="1142"/>
      <c r="AF186" s="1142"/>
      <c r="AG186" s="1142"/>
      <c r="AH186" s="1142"/>
      <c r="AI186" s="1142"/>
      <c r="AJ186" s="1142"/>
      <c r="AK186" s="1142"/>
      <c r="AL186" s="10488"/>
      <c r="AM186" s="10488"/>
      <c r="AN186" s="10488"/>
      <c r="AO186" s="10488"/>
      <c r="AP186" s="10488"/>
      <c r="AQ186" s="10488"/>
    </row>
    <row r="187" spans="1:43" ht="17.25" customHeight="1">
      <c r="A187" s="1700"/>
      <c r="B187" s="10488"/>
      <c r="C187" s="1702"/>
      <c r="D187" s="16038"/>
      <c r="E187" s="16039"/>
      <c r="F187" s="16011"/>
      <c r="G187" s="16041"/>
      <c r="H187" s="16038"/>
      <c r="I187" s="16038"/>
      <c r="J187" s="16048"/>
      <c r="K187" s="16041"/>
      <c r="L187" s="15974" t="s">
        <v>103</v>
      </c>
      <c r="M187" s="15974" t="s">
        <v>132</v>
      </c>
      <c r="N187" s="16051" t="str">
        <f>IF(Z187="","",INDEX(TERRITORY_MR_LIST,MATCH(Z187,TERRITORY_LIST_ID,0)))</f>
        <v>Территория 8</v>
      </c>
      <c r="O187" s="16044" t="s">
        <v>56</v>
      </c>
      <c r="P187" s="15974"/>
      <c r="Q187" s="15974" t="s">
        <v>147</v>
      </c>
      <c r="R187" s="16054" t="s">
        <v>24</v>
      </c>
      <c r="S187" s="16050" t="s">
        <v>56</v>
      </c>
      <c r="T187" s="1664"/>
      <c r="U187" s="1664" t="s">
        <v>147</v>
      </c>
      <c r="V187" s="1310"/>
      <c r="W187" s="16043" t="s">
        <v>328</v>
      </c>
      <c r="X187" s="10488"/>
      <c r="Y187" s="1149"/>
      <c r="Z187" s="1149" t="s">
        <v>133</v>
      </c>
      <c r="AA187" s="1149"/>
      <c r="AB187" s="1149"/>
      <c r="AC187" s="10489" t="s">
        <v>283</v>
      </c>
      <c r="AD187" s="10489" t="s">
        <v>360</v>
      </c>
      <c r="AE187" s="1149" t="s">
        <v>384</v>
      </c>
      <c r="AF187" s="1149" t="s">
        <v>385</v>
      </c>
      <c r="AG187" s="1149" t="s">
        <v>386</v>
      </c>
      <c r="AH187" s="1149" t="str">
        <f>IF($E$100=0,"",$E$100)</f>
        <v>Тариф на горячую воду (горячее водоснабжение)</v>
      </c>
      <c r="AI187" s="1149" t="str">
        <f>IF($G$100=0,"",$G$100)</f>
        <v>Горячее водоснабжение</v>
      </c>
      <c r="AJ187" s="1149" t="str">
        <f>IF($J$164=0,"",$J$164)</f>
        <v>Тариф на горячую воду в закрытой системе горячего водоснабжения, поставляемую группе потребителей "потребители (кроме населения)"</v>
      </c>
      <c r="AK187" s="1149" t="str">
        <f>IF($K$187="нет","без дифференциации",IF($N$187=0,"",$N$187))</f>
        <v>Территория 8</v>
      </c>
      <c r="AL187" s="1704" t="str">
        <f>IF($O$187="нет","без дифференциации",IF($R$187=0,"",$R$187))</f>
        <v>без дифференциации</v>
      </c>
      <c r="AM187" s="1704"/>
      <c r="AN187" s="1149" t="str">
        <f>$I$164</f>
        <v>3</v>
      </c>
      <c r="AO187" s="1149" t="str">
        <f>$I$164&amp;"."&amp;$M$187</f>
        <v>3.8</v>
      </c>
      <c r="AP187" s="1149" t="str">
        <f>$I$164&amp;"."&amp;$M$187&amp;"."&amp;$Q$187</f>
        <v>3.8.1</v>
      </c>
      <c r="AQ187" s="1149"/>
    </row>
    <row r="188" spans="1:43" ht="17.25" customHeight="1">
      <c r="A188" s="1700"/>
      <c r="B188" s="10488"/>
      <c r="C188" s="1705"/>
      <c r="D188" s="16038"/>
      <c r="E188" s="16039"/>
      <c r="F188" s="16011"/>
      <c r="G188" s="16041"/>
      <c r="H188" s="16038"/>
      <c r="I188" s="16038"/>
      <c r="J188" s="16048"/>
      <c r="K188" s="16041"/>
      <c r="L188" s="15974"/>
      <c r="M188" s="15974"/>
      <c r="N188" s="16051"/>
      <c r="O188" s="16045"/>
      <c r="P188" s="15974"/>
      <c r="Q188" s="15974"/>
      <c r="R188" s="16054" t="s">
        <v>24</v>
      </c>
      <c r="S188" s="16050"/>
      <c r="T188" s="1311"/>
      <c r="U188" s="1312"/>
      <c r="V188" s="1312"/>
      <c r="W188" s="16043"/>
      <c r="X188" s="10488"/>
      <c r="Y188" s="1142"/>
      <c r="Z188" s="1142"/>
      <c r="AA188" s="1142"/>
      <c r="AB188" s="1142"/>
      <c r="AC188" s="1142"/>
      <c r="AD188" s="1142"/>
      <c r="AE188" s="1142"/>
      <c r="AF188" s="1142"/>
      <c r="AG188" s="1142"/>
      <c r="AH188" s="1142"/>
      <c r="AI188" s="1142"/>
      <c r="AJ188" s="1142"/>
      <c r="AK188" s="1142"/>
      <c r="AL188" s="10488"/>
      <c r="AM188" s="10488"/>
      <c r="AN188" s="10488"/>
      <c r="AO188" s="10488"/>
      <c r="AP188" s="10488"/>
      <c r="AQ188" s="10488"/>
    </row>
    <row r="189" spans="1:43" ht="17.25" customHeight="1">
      <c r="A189" s="1700"/>
      <c r="B189" s="10488"/>
      <c r="C189" s="1705"/>
      <c r="D189" s="16038"/>
      <c r="E189" s="16039"/>
      <c r="F189" s="16011"/>
      <c r="G189" s="16041"/>
      <c r="H189" s="16038"/>
      <c r="I189" s="16038"/>
      <c r="J189" s="16048"/>
      <c r="K189" s="16041"/>
      <c r="L189" s="16001"/>
      <c r="M189" s="16001"/>
      <c r="N189" s="16053"/>
      <c r="O189" s="15978"/>
      <c r="P189" s="234"/>
      <c r="Q189" s="235"/>
      <c r="R189" s="235" t="s">
        <v>290</v>
      </c>
      <c r="S189" s="1706"/>
      <c r="T189" s="1706"/>
      <c r="U189" s="1706"/>
      <c r="V189" s="1706"/>
      <c r="W189" s="1309"/>
      <c r="X189" s="10488"/>
      <c r="Y189" s="1142"/>
      <c r="Z189" s="1142"/>
      <c r="AA189" s="1142"/>
      <c r="AB189" s="1142"/>
      <c r="AC189" s="1142"/>
      <c r="AD189" s="1142"/>
      <c r="AE189" s="1142"/>
      <c r="AF189" s="1142"/>
      <c r="AG189" s="1142"/>
      <c r="AH189" s="1142"/>
      <c r="AI189" s="1142"/>
      <c r="AJ189" s="1142"/>
      <c r="AK189" s="1142"/>
      <c r="AL189" s="10488"/>
      <c r="AM189" s="10488"/>
      <c r="AN189" s="10488"/>
      <c r="AO189" s="10488"/>
      <c r="AP189" s="10488"/>
      <c r="AQ189" s="10488"/>
    </row>
    <row r="190" spans="1:43" ht="17.25" customHeight="1">
      <c r="A190" s="1700"/>
      <c r="B190" s="10488"/>
      <c r="C190" s="1702"/>
      <c r="D190" s="16038"/>
      <c r="E190" s="16039"/>
      <c r="F190" s="16011"/>
      <c r="G190" s="16041"/>
      <c r="H190" s="16038"/>
      <c r="I190" s="16038"/>
      <c r="J190" s="16048"/>
      <c r="K190" s="16041"/>
      <c r="L190" s="15974" t="s">
        <v>103</v>
      </c>
      <c r="M190" s="15974" t="s">
        <v>136</v>
      </c>
      <c r="N190" s="16051" t="str">
        <f>IF(Z190="","",INDEX(TERRITORY_MR_LIST,MATCH(Z190,TERRITORY_LIST_ID,0)))</f>
        <v>Территория 9</v>
      </c>
      <c r="O190" s="16044" t="s">
        <v>66</v>
      </c>
      <c r="P190" s="15974"/>
      <c r="Q190" s="15974" t="s">
        <v>147</v>
      </c>
      <c r="R190" s="16046" t="s">
        <v>322</v>
      </c>
      <c r="S190" s="16050" t="s">
        <v>56</v>
      </c>
      <c r="T190" s="1664"/>
      <c r="U190" s="1664" t="s">
        <v>147</v>
      </c>
      <c r="V190" s="1310"/>
      <c r="W190" s="16043" t="s">
        <v>328</v>
      </c>
      <c r="X190" s="10488"/>
      <c r="Y190" s="1149"/>
      <c r="Z190" s="1149" t="s">
        <v>137</v>
      </c>
      <c r="AA190" s="1149"/>
      <c r="AB190" s="1149"/>
      <c r="AC190" s="10489" t="s">
        <v>283</v>
      </c>
      <c r="AD190" s="10489" t="s">
        <v>360</v>
      </c>
      <c r="AE190" s="1149" t="s">
        <v>387</v>
      </c>
      <c r="AF190" s="1149" t="s">
        <v>388</v>
      </c>
      <c r="AG190" s="1149" t="s">
        <v>389</v>
      </c>
      <c r="AH190" s="1149" t="str">
        <f>IF($E$100=0,"",$E$100)</f>
        <v>Тариф на горячую воду (горячее водоснабжение)</v>
      </c>
      <c r="AI190" s="1149" t="str">
        <f>IF($G$100=0,"",$G$100)</f>
        <v>Горячее водоснабжение</v>
      </c>
      <c r="AJ190" s="1149" t="str">
        <f>IF($J$164=0,"",$J$164)</f>
        <v>Тариф на горячую воду в закрытой системе горячего водоснабжения, поставляемую группе потребителей "потребители (кроме населения)"</v>
      </c>
      <c r="AK190" s="1149" t="str">
        <f>IF($K$190="нет","без дифференциации",IF($N$190=0,"",$N$190))</f>
        <v>Территория 9</v>
      </c>
      <c r="AL190" s="1704" t="str">
        <f>IF($O$190="нет","без дифференциации",IF($R$190=0,"",$R$190))</f>
        <v>н.п. Лейпи</v>
      </c>
      <c r="AM190" s="1704"/>
      <c r="AN190" s="1149" t="str">
        <f>$I$164</f>
        <v>3</v>
      </c>
      <c r="AO190" s="1149" t="str">
        <f>$I$164&amp;"."&amp;$M$190</f>
        <v>3.9</v>
      </c>
      <c r="AP190" s="1149" t="str">
        <f>$I$164&amp;"."&amp;$M$190&amp;"."&amp;$Q$190</f>
        <v>3.9.1</v>
      </c>
      <c r="AQ190" s="1149"/>
    </row>
    <row r="191" spans="1:43" ht="17.25" customHeight="1">
      <c r="A191" s="1700"/>
      <c r="B191" s="10488"/>
      <c r="C191" s="1705"/>
      <c r="D191" s="16038"/>
      <c r="E191" s="16039"/>
      <c r="F191" s="16011"/>
      <c r="G191" s="16041"/>
      <c r="H191" s="16038"/>
      <c r="I191" s="16038"/>
      <c r="J191" s="16048"/>
      <c r="K191" s="16041"/>
      <c r="L191" s="15974"/>
      <c r="M191" s="15974"/>
      <c r="N191" s="16051"/>
      <c r="O191" s="16045"/>
      <c r="P191" s="15974"/>
      <c r="Q191" s="15974"/>
      <c r="R191" s="16046"/>
      <c r="S191" s="16050"/>
      <c r="T191" s="1311"/>
      <c r="U191" s="1312"/>
      <c r="V191" s="1312"/>
      <c r="W191" s="16043"/>
      <c r="X191" s="10488"/>
      <c r="Y191" s="1142"/>
      <c r="Z191" s="1142"/>
      <c r="AA191" s="1142"/>
      <c r="AB191" s="1142"/>
      <c r="AC191" s="1142"/>
      <c r="AD191" s="1142"/>
      <c r="AE191" s="1142"/>
      <c r="AF191" s="1142"/>
      <c r="AG191" s="1142"/>
      <c r="AH191" s="1142"/>
      <c r="AI191" s="1142"/>
      <c r="AJ191" s="1142"/>
      <c r="AK191" s="1142"/>
      <c r="AL191" s="10488"/>
      <c r="AM191" s="10488"/>
      <c r="AN191" s="10488"/>
      <c r="AO191" s="10488"/>
      <c r="AP191" s="10488"/>
      <c r="AQ191" s="10488"/>
    </row>
    <row r="192" spans="1:43" ht="17.25" customHeight="1">
      <c r="A192" s="1700"/>
      <c r="B192" s="10488"/>
      <c r="C192" s="1705"/>
      <c r="D192" s="16038"/>
      <c r="E192" s="16039"/>
      <c r="F192" s="16011"/>
      <c r="G192" s="16041"/>
      <c r="H192" s="16038"/>
      <c r="I192" s="16038"/>
      <c r="J192" s="16048"/>
      <c r="K192" s="16041"/>
      <c r="L192" s="16001"/>
      <c r="M192" s="16001"/>
      <c r="N192" s="16053"/>
      <c r="O192" s="15978"/>
      <c r="P192" s="234"/>
      <c r="Q192" s="235"/>
      <c r="R192" s="235" t="s">
        <v>290</v>
      </c>
      <c r="S192" s="1706"/>
      <c r="T192" s="1706"/>
      <c r="U192" s="1706"/>
      <c r="V192" s="1706"/>
      <c r="W192" s="1309"/>
      <c r="X192" s="10488"/>
      <c r="Y192" s="1142"/>
      <c r="Z192" s="1142"/>
      <c r="AA192" s="1142"/>
      <c r="AB192" s="1142"/>
      <c r="AC192" s="1142"/>
      <c r="AD192" s="1142"/>
      <c r="AE192" s="1142"/>
      <c r="AF192" s="1142"/>
      <c r="AG192" s="1142"/>
      <c r="AH192" s="1142"/>
      <c r="AI192" s="1142"/>
      <c r="AJ192" s="1142"/>
      <c r="AK192" s="1142"/>
      <c r="AL192" s="10488"/>
      <c r="AM192" s="10488"/>
      <c r="AN192" s="10488"/>
      <c r="AO192" s="10488"/>
      <c r="AP192" s="10488"/>
      <c r="AQ192" s="10488"/>
    </row>
    <row r="193" spans="1:43" ht="17.25" customHeight="1">
      <c r="A193" s="1700"/>
      <c r="B193" s="10488"/>
      <c r="C193" s="1705"/>
      <c r="D193" s="16038"/>
      <c r="E193" s="16039"/>
      <c r="F193" s="16011"/>
      <c r="G193" s="16041"/>
      <c r="H193" s="16001"/>
      <c r="I193" s="16001"/>
      <c r="J193" s="16049"/>
      <c r="K193" s="15978"/>
      <c r="L193" s="234"/>
      <c r="M193" s="235"/>
      <c r="N193" s="235" t="s">
        <v>326</v>
      </c>
      <c r="O193" s="235"/>
      <c r="P193" s="235"/>
      <c r="Q193" s="235"/>
      <c r="R193" s="235"/>
      <c r="S193" s="1706"/>
      <c r="T193" s="1706"/>
      <c r="U193" s="1706"/>
      <c r="V193" s="1706"/>
      <c r="W193" s="236"/>
      <c r="X193" s="10488"/>
      <c r="Y193" s="1142"/>
      <c r="Z193" s="1142"/>
      <c r="AA193" s="1142"/>
      <c r="AB193" s="1142"/>
      <c r="AC193" s="1142"/>
      <c r="AD193" s="1142"/>
      <c r="AE193" s="1142"/>
      <c r="AF193" s="1142"/>
      <c r="AG193" s="1142"/>
      <c r="AH193" s="1142"/>
      <c r="AI193" s="1142"/>
      <c r="AJ193" s="1142"/>
      <c r="AK193" s="1142"/>
      <c r="AL193" s="10488"/>
      <c r="AM193" s="10488"/>
      <c r="AN193" s="10488"/>
      <c r="AO193" s="10488"/>
      <c r="AP193" s="10488"/>
      <c r="AQ193" s="10488"/>
    </row>
    <row r="194" spans="1:43" s="14384" customFormat="1" ht="17.25" customHeight="1">
      <c r="A194" s="238"/>
      <c r="C194" s="237"/>
      <c r="D194" s="16001"/>
      <c r="E194" s="16009"/>
      <c r="F194" s="16012"/>
      <c r="G194" s="16042"/>
      <c r="H194" s="1876"/>
      <c r="I194" s="1877"/>
      <c r="J194" s="1878" t="s">
        <v>390</v>
      </c>
      <c r="K194" s="1879"/>
      <c r="L194" s="1880"/>
      <c r="M194" s="1881"/>
      <c r="N194" s="1882"/>
      <c r="O194" s="1883"/>
      <c r="P194" s="1884"/>
      <c r="Q194" s="1885"/>
      <c r="R194" s="1886"/>
      <c r="S194" s="1887"/>
      <c r="T194" s="1888"/>
      <c r="U194" s="1889"/>
      <c r="V194" s="1890"/>
      <c r="W194" s="1891"/>
      <c r="Y194" s="1142"/>
      <c r="Z194" s="1142"/>
      <c r="AA194" s="1142"/>
      <c r="AB194" s="1142"/>
      <c r="AC194" s="1142"/>
      <c r="AD194" s="1142"/>
      <c r="AE194" s="1142"/>
      <c r="AF194" s="1142"/>
      <c r="AG194" s="1142"/>
      <c r="AH194" s="1142"/>
      <c r="AI194" s="1142"/>
      <c r="AJ194" s="1142"/>
      <c r="AK194" s="1142"/>
      <c r="AL194" s="1142"/>
      <c r="AM194" s="1142"/>
      <c r="AN194" s="1142"/>
      <c r="AO194" s="1142"/>
      <c r="AP194" s="1142"/>
      <c r="AQ194" s="1142"/>
    </row>
    <row r="195" spans="1:43" s="14384" customFormat="1" ht="17.25" customHeight="1">
      <c r="A195" s="238"/>
      <c r="C195" s="131"/>
      <c r="D195" s="16000">
        <v>2</v>
      </c>
      <c r="E195" s="16008" t="s">
        <v>391</v>
      </c>
      <c r="F195" s="16010" t="s">
        <v>56</v>
      </c>
      <c r="G195" s="16008"/>
      <c r="H195" s="16013"/>
      <c r="I195" s="16015"/>
      <c r="J195" s="16017"/>
      <c r="K195" s="16002"/>
      <c r="L195" s="16002"/>
      <c r="M195" s="16002"/>
      <c r="N195" s="16004"/>
      <c r="O195" s="16002"/>
      <c r="P195" s="16002"/>
      <c r="Q195" s="16002"/>
      <c r="R195" s="16007"/>
      <c r="S195" s="16002"/>
      <c r="T195" s="1342"/>
      <c r="U195" s="1342"/>
      <c r="V195" s="1344"/>
      <c r="W195" s="1176"/>
      <c r="X195" s="1149"/>
      <c r="Y195" s="1149"/>
      <c r="Z195" s="1149"/>
      <c r="AA195" s="1149"/>
      <c r="AB195" s="1149"/>
      <c r="AC195" s="1149" t="s">
        <v>392</v>
      </c>
      <c r="AD195" s="1149" t="s">
        <v>393</v>
      </c>
      <c r="AE195" s="1149" t="s">
        <v>394</v>
      </c>
      <c r="AF195" s="1149" t="s">
        <v>395</v>
      </c>
      <c r="AG195" s="1149"/>
      <c r="AH195" s="1149" t="str">
        <f>IF($E$195=0,"",$E$195)</f>
        <v>Тариф на транспортировку горячей воды</v>
      </c>
      <c r="AI195" s="1149" t="str">
        <f>IF($G$195=0,"",$G$195)</f>
        <v/>
      </c>
      <c r="AJ195" s="1149" t="str">
        <f>IF($J$195=0,"",$J$195)</f>
        <v/>
      </c>
      <c r="AK195" s="1149" t="str">
        <f>IF($K$195="нет","без дифференциации",IF($N$195=0,"",$N$195))</f>
        <v/>
      </c>
      <c r="AL195" s="1149" t="str">
        <f>IF($O$195="нет","без дифференциации",IF($R$195=0,"",$R$195))</f>
        <v/>
      </c>
      <c r="AM195" s="1149" t="str">
        <f>IF($S$195="нет","без дифференциации",IF($V$195=0,"",$V$195))</f>
        <v/>
      </c>
      <c r="AN195" s="1634">
        <f>$I$195</f>
        <v>0</v>
      </c>
      <c r="AO195" s="1149" t="str">
        <f>$I$195&amp;"."&amp;$M$195</f>
        <v>.</v>
      </c>
      <c r="AP195" s="1142" t="str">
        <f>$I$195&amp;"."&amp;$M$195&amp;"."&amp;$Q$195</f>
        <v>..</v>
      </c>
      <c r="AQ195" s="1142" t="str">
        <f>$I$195&amp;"."&amp;$M$195&amp;"."&amp;$Q$195&amp;"."&amp;$U$195</f>
        <v>...</v>
      </c>
    </row>
    <row r="196" spans="1:43" s="14384" customFormat="1" ht="17.25" customHeight="1">
      <c r="A196" s="238"/>
      <c r="C196" s="237"/>
      <c r="D196" s="16000"/>
      <c r="E196" s="16008"/>
      <c r="F196" s="16011"/>
      <c r="G196" s="16008"/>
      <c r="H196" s="16014"/>
      <c r="I196" s="16016"/>
      <c r="J196" s="16018"/>
      <c r="K196" s="16003"/>
      <c r="L196" s="16003"/>
      <c r="M196" s="16003"/>
      <c r="N196" s="16005"/>
      <c r="O196" s="16003"/>
      <c r="P196" s="16003"/>
      <c r="Q196" s="16003"/>
      <c r="R196" s="16006"/>
      <c r="S196" s="16003"/>
      <c r="T196" s="1177"/>
      <c r="U196" s="1177"/>
      <c r="V196" s="1177"/>
      <c r="W196" s="1178"/>
      <c r="X196" s="1142"/>
      <c r="Y196" s="1142"/>
      <c r="Z196" s="1142"/>
      <c r="AA196" s="1142"/>
      <c r="AB196" s="1142"/>
      <c r="AC196" s="1142"/>
      <c r="AD196" s="1142"/>
      <c r="AE196" s="1142"/>
      <c r="AF196" s="1142"/>
      <c r="AG196" s="1142"/>
      <c r="AH196" s="1142"/>
      <c r="AI196" s="1142"/>
      <c r="AJ196" s="1142"/>
      <c r="AK196" s="1142"/>
      <c r="AL196" s="1142"/>
      <c r="AM196" s="1142"/>
      <c r="AN196" s="1142"/>
      <c r="AO196" s="1142"/>
      <c r="AP196" s="1142"/>
      <c r="AQ196" s="1142"/>
    </row>
    <row r="197" spans="1:43" s="14384" customFormat="1" ht="17.25" customHeight="1">
      <c r="A197" s="238"/>
      <c r="C197" s="237"/>
      <c r="D197" s="16001"/>
      <c r="E197" s="16009"/>
      <c r="F197" s="16011"/>
      <c r="G197" s="16009"/>
      <c r="H197" s="16014"/>
      <c r="I197" s="16016"/>
      <c r="J197" s="16019"/>
      <c r="K197" s="16003"/>
      <c r="L197" s="16003"/>
      <c r="M197" s="16003"/>
      <c r="N197" s="16006"/>
      <c r="O197" s="16003"/>
      <c r="P197" s="1343"/>
      <c r="Q197" s="1177"/>
      <c r="R197" s="1177"/>
      <c r="S197" s="246"/>
      <c r="T197" s="246"/>
      <c r="U197" s="246"/>
      <c r="V197" s="246"/>
      <c r="W197" s="1178"/>
      <c r="X197" s="1142"/>
      <c r="Y197" s="1142"/>
      <c r="Z197" s="1142"/>
      <c r="AA197" s="1142"/>
      <c r="AB197" s="1142"/>
      <c r="AC197" s="1142"/>
      <c r="AD197" s="1142"/>
      <c r="AE197" s="1142"/>
      <c r="AF197" s="1142"/>
      <c r="AG197" s="1142"/>
      <c r="AH197" s="1142"/>
      <c r="AI197" s="1142"/>
      <c r="AJ197" s="1142"/>
      <c r="AK197" s="1142"/>
      <c r="AL197" s="1142"/>
      <c r="AM197" s="1142"/>
      <c r="AN197" s="1142"/>
      <c r="AO197" s="1142"/>
      <c r="AP197" s="1142"/>
      <c r="AQ197" s="1142"/>
    </row>
    <row r="198" spans="1:43" s="14384" customFormat="1" ht="17.25" customHeight="1">
      <c r="A198" s="238"/>
      <c r="C198" s="237"/>
      <c r="D198" s="16001"/>
      <c r="E198" s="16009"/>
      <c r="F198" s="16011"/>
      <c r="G198" s="16009"/>
      <c r="H198" s="16014"/>
      <c r="I198" s="16016"/>
      <c r="J198" s="16019"/>
      <c r="K198" s="16003"/>
      <c r="L198" s="1177"/>
      <c r="M198" s="1177"/>
      <c r="N198" s="1177"/>
      <c r="O198" s="1177"/>
      <c r="P198" s="1177"/>
      <c r="Q198" s="1177"/>
      <c r="R198" s="1177"/>
      <c r="S198" s="246"/>
      <c r="T198" s="246"/>
      <c r="U198" s="246"/>
      <c r="V198" s="246"/>
      <c r="W198" s="1178"/>
      <c r="X198" s="1142"/>
      <c r="Y198" s="1142"/>
      <c r="Z198" s="1142"/>
      <c r="AA198" s="1142"/>
      <c r="AB198" s="1142"/>
      <c r="AC198" s="1142"/>
      <c r="AD198" s="1142"/>
      <c r="AE198" s="1142"/>
      <c r="AF198" s="1142"/>
      <c r="AG198" s="1142"/>
      <c r="AH198" s="1142"/>
      <c r="AI198" s="1142"/>
      <c r="AJ198" s="1142"/>
      <c r="AK198" s="1142"/>
      <c r="AL198" s="1142"/>
      <c r="AM198" s="1142"/>
      <c r="AN198" s="1142"/>
      <c r="AO198" s="1142"/>
      <c r="AP198" s="1142"/>
      <c r="AQ198" s="1142"/>
    </row>
    <row r="199" spans="1:43" s="14384" customFormat="1" ht="17.25" customHeight="1">
      <c r="A199" s="238"/>
      <c r="C199" s="237"/>
      <c r="D199" s="16001"/>
      <c r="E199" s="16009"/>
      <c r="F199" s="16012"/>
      <c r="G199" s="16009"/>
      <c r="H199" s="1179"/>
      <c r="I199" s="1180"/>
      <c r="J199" s="1180"/>
      <c r="K199" s="1180"/>
      <c r="L199" s="1180"/>
      <c r="M199" s="1180"/>
      <c r="N199" s="1180"/>
      <c r="O199" s="1180"/>
      <c r="P199" s="1180"/>
      <c r="Q199" s="1180"/>
      <c r="R199" s="1180"/>
      <c r="S199" s="1181"/>
      <c r="T199" s="1181"/>
      <c r="U199" s="1181"/>
      <c r="V199" s="1181"/>
      <c r="W199" s="1182"/>
      <c r="X199" s="1142"/>
      <c r="Y199" s="1142"/>
      <c r="Z199" s="1142"/>
      <c r="AA199" s="1142"/>
      <c r="AB199" s="1142"/>
      <c r="AC199" s="1142"/>
      <c r="AD199" s="1142"/>
      <c r="AE199" s="1142"/>
      <c r="AF199" s="1142"/>
      <c r="AG199" s="1142"/>
      <c r="AH199" s="1142"/>
      <c r="AI199" s="1142"/>
      <c r="AJ199" s="1142"/>
      <c r="AK199" s="1142"/>
      <c r="AL199" s="1142"/>
      <c r="AM199" s="1142"/>
      <c r="AN199" s="1142"/>
      <c r="AO199" s="1142"/>
      <c r="AP199" s="1142"/>
      <c r="AQ199" s="1142"/>
    </row>
    <row r="200" spans="1:43" s="14384" customFormat="1" ht="17.25" customHeight="1">
      <c r="A200" s="238"/>
      <c r="C200" s="131"/>
      <c r="D200" s="16000">
        <v>3</v>
      </c>
      <c r="E200" s="16008" t="s">
        <v>396</v>
      </c>
      <c r="F200" s="16010" t="s">
        <v>56</v>
      </c>
      <c r="G200" s="16008"/>
      <c r="H200" s="16013"/>
      <c r="I200" s="16015"/>
      <c r="J200" s="16017"/>
      <c r="K200" s="16002"/>
      <c r="L200" s="16002"/>
      <c r="M200" s="16002"/>
      <c r="N200" s="16004"/>
      <c r="O200" s="16002"/>
      <c r="P200" s="16002"/>
      <c r="Q200" s="16002"/>
      <c r="R200" s="16007"/>
      <c r="S200" s="16002"/>
      <c r="T200" s="1803"/>
      <c r="U200" s="1803"/>
      <c r="V200" s="1805"/>
      <c r="W200" s="1176"/>
      <c r="X200" s="1149"/>
      <c r="Y200" s="1149"/>
      <c r="Z200" s="1149"/>
      <c r="AA200" s="1149"/>
      <c r="AB200" s="1149"/>
      <c r="AC200" s="1149" t="s">
        <v>397</v>
      </c>
      <c r="AD200" s="1149" t="s">
        <v>398</v>
      </c>
      <c r="AE200" s="1149" t="s">
        <v>399</v>
      </c>
      <c r="AF200" s="1149" t="s">
        <v>400</v>
      </c>
      <c r="AG200" s="1149"/>
      <c r="AH200" s="1149" t="str">
        <f>IF($E$200=0,"",$E$200)</f>
        <v>Тариф на подключение (технологическое присоединение) к централизованной системе горячего водоснабжения</v>
      </c>
      <c r="AI200" s="1149" t="str">
        <f>IF($G$200=0,"",$G$200)</f>
        <v/>
      </c>
      <c r="AJ200" s="1149" t="str">
        <f>IF($J$200=0,"",$J$200)</f>
        <v/>
      </c>
      <c r="AK200" s="1149" t="str">
        <f>IF($K$200="нет","без дифференциации",IF($N$200=0,"",$N$200))</f>
        <v/>
      </c>
      <c r="AL200" s="1149" t="str">
        <f>IF($O$200="нет","без дифференциации",IF($R$200=0,"",$R$200))</f>
        <v/>
      </c>
      <c r="AM200" s="1149" t="str">
        <f>IF($S$200="нет","без дифференциации",IF($V$200=0,"",$V$200))</f>
        <v/>
      </c>
      <c r="AN200" s="1634">
        <f>$I$200</f>
        <v>0</v>
      </c>
      <c r="AO200" s="1149" t="str">
        <f>$I$200&amp;"."&amp;$M$200</f>
        <v>.</v>
      </c>
      <c r="AP200" s="1148" t="str">
        <f>$I$200&amp;"."&amp;$M$200&amp;"."&amp;$Q$200</f>
        <v>..</v>
      </c>
      <c r="AQ200" s="1148" t="str">
        <f>$I$200&amp;"."&amp;$M$200&amp;"."&amp;$Q$200&amp;"."&amp;$U$200</f>
        <v>...</v>
      </c>
    </row>
    <row r="201" spans="1:43" s="14384" customFormat="1" ht="17.25" customHeight="1">
      <c r="A201" s="238"/>
      <c r="C201" s="237"/>
      <c r="D201" s="16000"/>
      <c r="E201" s="16008"/>
      <c r="F201" s="16011"/>
      <c r="G201" s="16008"/>
      <c r="H201" s="16014"/>
      <c r="I201" s="16016"/>
      <c r="J201" s="16018"/>
      <c r="K201" s="16003"/>
      <c r="L201" s="16003"/>
      <c r="M201" s="16003"/>
      <c r="N201" s="16005"/>
      <c r="O201" s="16003"/>
      <c r="P201" s="16003"/>
      <c r="Q201" s="16003"/>
      <c r="R201" s="16006"/>
      <c r="S201" s="16003"/>
      <c r="T201" s="1808"/>
      <c r="U201" s="1808"/>
      <c r="V201" s="1808"/>
      <c r="W201" s="1809"/>
      <c r="X201" s="1148"/>
      <c r="Y201" s="1148"/>
      <c r="Z201" s="1148"/>
      <c r="AA201" s="1148"/>
      <c r="AB201" s="1148"/>
      <c r="AC201" s="1148"/>
      <c r="AD201" s="1148"/>
      <c r="AE201" s="1148"/>
      <c r="AF201" s="1148"/>
      <c r="AG201" s="1148"/>
      <c r="AH201" s="1148"/>
      <c r="AI201" s="1148"/>
      <c r="AJ201" s="1148"/>
      <c r="AK201" s="1148"/>
      <c r="AL201" s="1148"/>
      <c r="AM201" s="1148"/>
      <c r="AN201" s="1148"/>
      <c r="AO201" s="1148"/>
      <c r="AP201" s="1148"/>
      <c r="AQ201" s="1148"/>
    </row>
    <row r="202" spans="1:43" s="14384" customFormat="1" ht="17.25" customHeight="1">
      <c r="A202" s="238"/>
      <c r="C202" s="237"/>
      <c r="D202" s="16001"/>
      <c r="E202" s="16009"/>
      <c r="F202" s="16011"/>
      <c r="G202" s="16009"/>
      <c r="H202" s="16014"/>
      <c r="I202" s="16016"/>
      <c r="J202" s="16019"/>
      <c r="K202" s="16003"/>
      <c r="L202" s="16003"/>
      <c r="M202" s="16003"/>
      <c r="N202" s="16006"/>
      <c r="O202" s="16003"/>
      <c r="P202" s="1804"/>
      <c r="Q202" s="1808"/>
      <c r="R202" s="1808"/>
      <c r="S202" s="246"/>
      <c r="T202" s="246"/>
      <c r="U202" s="246"/>
      <c r="V202" s="246"/>
      <c r="W202" s="1809"/>
      <c r="X202" s="1148"/>
      <c r="Y202" s="1148"/>
      <c r="Z202" s="1148"/>
      <c r="AA202" s="1148"/>
      <c r="AB202" s="1148"/>
      <c r="AC202" s="1148"/>
      <c r="AD202" s="1148"/>
      <c r="AE202" s="1148"/>
      <c r="AF202" s="1148"/>
      <c r="AG202" s="1148"/>
      <c r="AH202" s="1148"/>
      <c r="AI202" s="1148"/>
      <c r="AJ202" s="1148"/>
      <c r="AK202" s="1148"/>
      <c r="AL202" s="1148"/>
      <c r="AM202" s="1148"/>
      <c r="AN202" s="1148"/>
      <c r="AO202" s="1148"/>
      <c r="AP202" s="1148"/>
      <c r="AQ202" s="1148"/>
    </row>
    <row r="203" spans="1:43" s="14384" customFormat="1" ht="17.25" customHeight="1">
      <c r="A203" s="238"/>
      <c r="C203" s="237"/>
      <c r="D203" s="16001"/>
      <c r="E203" s="16009"/>
      <c r="F203" s="16011"/>
      <c r="G203" s="16009"/>
      <c r="H203" s="16014"/>
      <c r="I203" s="16016"/>
      <c r="J203" s="16019"/>
      <c r="K203" s="16003"/>
      <c r="L203" s="1808"/>
      <c r="M203" s="1808"/>
      <c r="N203" s="1808"/>
      <c r="O203" s="1808"/>
      <c r="P203" s="1808"/>
      <c r="Q203" s="1808"/>
      <c r="R203" s="1808"/>
      <c r="S203" s="246"/>
      <c r="T203" s="246"/>
      <c r="U203" s="246"/>
      <c r="V203" s="246"/>
      <c r="W203" s="1809"/>
      <c r="X203" s="1148"/>
      <c r="Y203" s="1148"/>
      <c r="Z203" s="1148"/>
      <c r="AA203" s="1148"/>
      <c r="AB203" s="1148"/>
      <c r="AC203" s="1148"/>
      <c r="AD203" s="1148"/>
      <c r="AE203" s="1148"/>
      <c r="AF203" s="1148"/>
      <c r="AG203" s="1148"/>
      <c r="AH203" s="1148"/>
      <c r="AI203" s="1148"/>
      <c r="AJ203" s="1148"/>
      <c r="AK203" s="1148"/>
      <c r="AL203" s="1148"/>
      <c r="AM203" s="1148"/>
      <c r="AN203" s="1148"/>
      <c r="AO203" s="1148"/>
      <c r="AP203" s="1148"/>
      <c r="AQ203" s="1148"/>
    </row>
    <row r="204" spans="1:43" s="14384" customFormat="1" ht="17.25" customHeight="1">
      <c r="A204" s="238"/>
      <c r="C204" s="237"/>
      <c r="D204" s="16001"/>
      <c r="E204" s="16009"/>
      <c r="F204" s="16012"/>
      <c r="G204" s="16009"/>
      <c r="H204" s="1179"/>
      <c r="I204" s="1806"/>
      <c r="J204" s="1806"/>
      <c r="K204" s="1806"/>
      <c r="L204" s="1806"/>
      <c r="M204" s="1806"/>
      <c r="N204" s="1806"/>
      <c r="O204" s="1806"/>
      <c r="P204" s="1806"/>
      <c r="Q204" s="1806"/>
      <c r="R204" s="1806"/>
      <c r="S204" s="1181"/>
      <c r="T204" s="1181"/>
      <c r="U204" s="1181"/>
      <c r="V204" s="1181"/>
      <c r="W204" s="1807"/>
      <c r="X204" s="1148"/>
      <c r="Y204" s="1148"/>
      <c r="Z204" s="1148"/>
      <c r="AA204" s="1148"/>
      <c r="AB204" s="1148"/>
      <c r="AC204" s="1148"/>
      <c r="AD204" s="1148"/>
      <c r="AE204" s="1148"/>
      <c r="AF204" s="1148"/>
      <c r="AG204" s="1148"/>
      <c r="AH204" s="1148"/>
      <c r="AI204" s="1148"/>
      <c r="AJ204" s="1148"/>
      <c r="AK204" s="1148"/>
      <c r="AL204" s="1148"/>
      <c r="AM204" s="1148"/>
      <c r="AN204" s="1148"/>
      <c r="AO204" s="1148"/>
      <c r="AP204" s="1148"/>
      <c r="AQ204" s="1148"/>
    </row>
    <row r="205" spans="1:43" s="14384" customFormat="1" ht="11.25" hidden="1" customHeight="1">
      <c r="A205" s="195"/>
      <c r="B205" s="195"/>
      <c r="Y205" s="1142"/>
      <c r="Z205" s="1142"/>
      <c r="AA205" s="1142"/>
      <c r="AB205" s="1142"/>
      <c r="AC205" s="1142"/>
      <c r="AD205" s="1142"/>
      <c r="AE205" s="1142"/>
      <c r="AF205" s="1142"/>
      <c r="AG205" s="1142"/>
      <c r="AH205" s="1142"/>
      <c r="AI205" s="1142"/>
      <c r="AJ205" s="1142"/>
      <c r="AK205" s="1142"/>
      <c r="AL205" s="1142"/>
      <c r="AM205" s="1142"/>
      <c r="AN205" s="1142"/>
      <c r="AO205" s="1142"/>
      <c r="AP205" s="1142"/>
      <c r="AQ205" s="1142"/>
    </row>
    <row r="206" spans="1:43" s="14384" customFormat="1" ht="17.25" hidden="1" customHeight="1">
      <c r="A206" s="238"/>
      <c r="C206" s="131"/>
      <c r="D206" s="16000">
        <v>1</v>
      </c>
      <c r="E206" s="16008" t="s">
        <v>401</v>
      </c>
      <c r="F206" s="16010" t="s">
        <v>56</v>
      </c>
      <c r="G206" s="16008"/>
      <c r="H206" s="16013"/>
      <c r="I206" s="16015"/>
      <c r="J206" s="16017"/>
      <c r="K206" s="16002"/>
      <c r="L206" s="16002"/>
      <c r="M206" s="16002"/>
      <c r="N206" s="16004"/>
      <c r="O206" s="16002"/>
      <c r="P206" s="16002"/>
      <c r="Q206" s="16002"/>
      <c r="R206" s="16007"/>
      <c r="S206" s="16002"/>
      <c r="T206" s="1342"/>
      <c r="U206" s="1342"/>
      <c r="V206" s="1344"/>
      <c r="W206" s="1176"/>
      <c r="Y206" s="1149"/>
      <c r="Z206" s="1149"/>
      <c r="AA206" s="1149"/>
      <c r="AB206" s="1149"/>
      <c r="AC206" s="1149" t="s">
        <v>402</v>
      </c>
      <c r="AD206" s="1149" t="s">
        <v>403</v>
      </c>
      <c r="AE206" s="1149" t="s">
        <v>404</v>
      </c>
      <c r="AF206" s="1149" t="s">
        <v>405</v>
      </c>
      <c r="AG206" s="1149"/>
      <c r="AH206" s="1149" t="str">
        <f>IF($E$206=0,"",$E$206)</f>
        <v>Тариф на водоотведение</v>
      </c>
      <c r="AI206" s="1149" t="str">
        <f>IF($G$206=0,"",$G$206)</f>
        <v/>
      </c>
      <c r="AJ206" s="1149" t="str">
        <f>IF($J$206=0,"",$J$206)</f>
        <v/>
      </c>
      <c r="AK206" s="1149" t="str">
        <f>IF($K$206="нет","без дифференциации",IF($N$206=0,"",$N$206))</f>
        <v/>
      </c>
      <c r="AL206" s="1149" t="str">
        <f>IF($O$206="нет","без дифференциации",IF($R$206=0,"",$R$206))</f>
        <v/>
      </c>
      <c r="AM206" s="1149" t="str">
        <f>IF($S$206="нет","без дифференциации",IF($V$206=0,"",$V$206))</f>
        <v/>
      </c>
      <c r="AN206" s="1149">
        <f>$I$206</f>
        <v>0</v>
      </c>
      <c r="AO206" s="1149" t="str">
        <f>$I$206&amp;"."&amp;$M$206</f>
        <v>.</v>
      </c>
      <c r="AP206" s="1149" t="str">
        <f>$I$206&amp;"."&amp;$M$206&amp;"."&amp;$Q$206</f>
        <v>..</v>
      </c>
      <c r="AQ206" s="1149" t="str">
        <f>$I$206&amp;"."&amp;$M$206&amp;"."&amp;$Q$206&amp;"."&amp;$U$206</f>
        <v>...</v>
      </c>
    </row>
    <row r="207" spans="1:43" s="14384" customFormat="1" ht="17.25" hidden="1" customHeight="1">
      <c r="A207" s="238"/>
      <c r="C207" s="237"/>
      <c r="D207" s="16000"/>
      <c r="E207" s="16008"/>
      <c r="F207" s="16011"/>
      <c r="G207" s="16008"/>
      <c r="H207" s="16014"/>
      <c r="I207" s="16016"/>
      <c r="J207" s="16018"/>
      <c r="K207" s="16003"/>
      <c r="L207" s="16003"/>
      <c r="M207" s="16003"/>
      <c r="N207" s="16005"/>
      <c r="O207" s="16003"/>
      <c r="P207" s="16003"/>
      <c r="Q207" s="16003"/>
      <c r="R207" s="16006"/>
      <c r="S207" s="16003"/>
      <c r="T207" s="1177"/>
      <c r="U207" s="1177"/>
      <c r="V207" s="1177"/>
      <c r="W207" s="1178"/>
      <c r="Y207" s="1142"/>
      <c r="Z207" s="1142"/>
      <c r="AA207" s="1142"/>
      <c r="AB207" s="1142"/>
      <c r="AC207" s="1142"/>
      <c r="AD207" s="1142"/>
      <c r="AE207" s="1142"/>
      <c r="AF207" s="1142"/>
      <c r="AG207" s="1142"/>
      <c r="AH207" s="1142"/>
      <c r="AI207" s="1142"/>
      <c r="AJ207" s="1142"/>
      <c r="AK207" s="1142"/>
      <c r="AL207" s="1142"/>
      <c r="AM207" s="1142"/>
      <c r="AN207" s="1142"/>
      <c r="AO207" s="1142"/>
      <c r="AP207" s="1142"/>
      <c r="AQ207" s="1142"/>
    </row>
    <row r="208" spans="1:43" s="14384" customFormat="1" ht="17.25" hidden="1" customHeight="1">
      <c r="A208" s="238"/>
      <c r="C208" s="131"/>
      <c r="D208" s="16000"/>
      <c r="E208" s="16008"/>
      <c r="F208" s="16011"/>
      <c r="G208" s="16008"/>
      <c r="H208" s="16014"/>
      <c r="I208" s="16016"/>
      <c r="J208" s="16019"/>
      <c r="K208" s="16003"/>
      <c r="L208" s="16003"/>
      <c r="M208" s="16003"/>
      <c r="N208" s="16006"/>
      <c r="O208" s="16003"/>
      <c r="P208" s="1343"/>
      <c r="Q208" s="1177"/>
      <c r="R208" s="1177"/>
      <c r="S208" s="246"/>
      <c r="T208" s="246"/>
      <c r="U208" s="246"/>
      <c r="V208" s="246"/>
      <c r="W208" s="1178"/>
      <c r="Y208" s="1149"/>
      <c r="Z208" s="1149"/>
      <c r="AA208" s="1149"/>
      <c r="AB208" s="1149"/>
      <c r="AC208" s="1149"/>
      <c r="AD208" s="1149"/>
      <c r="AE208" s="1149"/>
      <c r="AF208" s="1149"/>
      <c r="AG208" s="1149"/>
      <c r="AH208" s="1149"/>
      <c r="AI208" s="1149"/>
      <c r="AJ208" s="1149"/>
      <c r="AK208" s="1149"/>
      <c r="AL208" s="1149"/>
      <c r="AM208" s="1149"/>
      <c r="AN208" s="1149"/>
      <c r="AO208" s="1149"/>
      <c r="AP208" s="1149"/>
      <c r="AQ208" s="1149"/>
    </row>
    <row r="209" spans="1:43" s="14384" customFormat="1" ht="17.25" hidden="1" customHeight="1">
      <c r="A209" s="238"/>
      <c r="C209" s="237"/>
      <c r="D209" s="16000"/>
      <c r="E209" s="16008"/>
      <c r="F209" s="16011"/>
      <c r="G209" s="16008"/>
      <c r="H209" s="16014"/>
      <c r="I209" s="16016"/>
      <c r="J209" s="16019"/>
      <c r="K209" s="16003"/>
      <c r="L209" s="1177"/>
      <c r="M209" s="1177"/>
      <c r="N209" s="1177"/>
      <c r="O209" s="1177"/>
      <c r="P209" s="1177"/>
      <c r="Q209" s="1177"/>
      <c r="R209" s="1177"/>
      <c r="S209" s="246"/>
      <c r="T209" s="246"/>
      <c r="U209" s="246"/>
      <c r="V209" s="246"/>
      <c r="W209" s="1178"/>
      <c r="Y209" s="1142"/>
      <c r="Z209" s="1142"/>
      <c r="AA209" s="1142"/>
      <c r="AB209" s="1142"/>
      <c r="AC209" s="1142"/>
      <c r="AD209" s="1142"/>
      <c r="AE209" s="1142"/>
      <c r="AF209" s="1142"/>
      <c r="AG209" s="1142"/>
      <c r="AH209" s="1142"/>
      <c r="AI209" s="1142"/>
      <c r="AJ209" s="1142"/>
      <c r="AK209" s="1142"/>
      <c r="AL209" s="1142"/>
      <c r="AM209" s="1142"/>
      <c r="AN209" s="1142"/>
      <c r="AO209" s="1142"/>
      <c r="AP209" s="1142"/>
      <c r="AQ209" s="1142"/>
    </row>
    <row r="210" spans="1:43" s="14384" customFormat="1" ht="17.25" hidden="1" customHeight="1">
      <c r="A210" s="238"/>
      <c r="C210" s="237"/>
      <c r="D210" s="16001"/>
      <c r="E210" s="16009"/>
      <c r="F210" s="16012"/>
      <c r="G210" s="16009"/>
      <c r="H210" s="1179"/>
      <c r="I210" s="1180"/>
      <c r="J210" s="1180"/>
      <c r="K210" s="1180"/>
      <c r="L210" s="1180"/>
      <c r="M210" s="1180"/>
      <c r="N210" s="1180"/>
      <c r="O210" s="1180"/>
      <c r="P210" s="1180"/>
      <c r="Q210" s="1180"/>
      <c r="R210" s="1180"/>
      <c r="S210" s="1181"/>
      <c r="T210" s="1181"/>
      <c r="U210" s="1181"/>
      <c r="V210" s="1181"/>
      <c r="W210" s="1182"/>
      <c r="Y210" s="1142"/>
      <c r="Z210" s="1142"/>
      <c r="AA210" s="1142"/>
      <c r="AB210" s="1142"/>
      <c r="AC210" s="1142"/>
      <c r="AD210" s="1142"/>
      <c r="AE210" s="1142"/>
      <c r="AF210" s="1142"/>
      <c r="AG210" s="1142"/>
      <c r="AH210" s="1142"/>
      <c r="AI210" s="1142"/>
      <c r="AJ210" s="1142"/>
      <c r="AK210" s="1142"/>
      <c r="AL210" s="1142"/>
      <c r="AM210" s="1142"/>
      <c r="AN210" s="1142"/>
      <c r="AO210" s="1142"/>
      <c r="AP210" s="1142"/>
      <c r="AQ210" s="1142"/>
    </row>
    <row r="211" spans="1:43" s="14384" customFormat="1" ht="17.25" hidden="1" customHeight="1">
      <c r="A211" s="238"/>
      <c r="C211" s="131"/>
      <c r="D211" s="16000">
        <v>2</v>
      </c>
      <c r="E211" s="16008" t="s">
        <v>406</v>
      </c>
      <c r="F211" s="16010" t="s">
        <v>56</v>
      </c>
      <c r="G211" s="16008"/>
      <c r="H211" s="16013"/>
      <c r="I211" s="16015"/>
      <c r="J211" s="16017"/>
      <c r="K211" s="16002"/>
      <c r="L211" s="16002"/>
      <c r="M211" s="16002"/>
      <c r="N211" s="16004"/>
      <c r="O211" s="16002"/>
      <c r="P211" s="16002"/>
      <c r="Q211" s="16002"/>
      <c r="R211" s="16007"/>
      <c r="S211" s="16002"/>
      <c r="T211" s="1342"/>
      <c r="U211" s="1342"/>
      <c r="V211" s="1344"/>
      <c r="W211" s="1176"/>
      <c r="X211" s="1149"/>
      <c r="Y211" s="1149"/>
      <c r="Z211" s="1149"/>
      <c r="AA211" s="1149"/>
      <c r="AB211" s="1149"/>
      <c r="AC211" s="1149" t="s">
        <v>407</v>
      </c>
      <c r="AD211" s="1149" t="s">
        <v>408</v>
      </c>
      <c r="AE211" s="1149" t="s">
        <v>409</v>
      </c>
      <c r="AF211" s="1149" t="s">
        <v>410</v>
      </c>
      <c r="AG211" s="1149"/>
      <c r="AH211" s="1149" t="str">
        <f>IF($E$211=0,"",$E$211)</f>
        <v>Тариф на транспортировку сточных вод</v>
      </c>
      <c r="AI211" s="1149" t="str">
        <f>IF($G$211=0,"",$G$211)</f>
        <v/>
      </c>
      <c r="AJ211" s="1149" t="str">
        <f>IF($J$211=0,"",$J$211)</f>
        <v/>
      </c>
      <c r="AK211" s="1149" t="str">
        <f>IF($K$211="нет","без дифференциации",IF($N$211=0,"",$N$211))</f>
        <v/>
      </c>
      <c r="AL211" s="1149" t="str">
        <f>IF($O$211="нет","без дифференциации",IF($R$211=0,"",$R$211))</f>
        <v/>
      </c>
      <c r="AM211" s="1149" t="str">
        <f>IF($S$211="нет","без дифференциации",IF($V$211=0,"",$V$211))</f>
        <v/>
      </c>
      <c r="AN211" s="1634">
        <f>$I$211</f>
        <v>0</v>
      </c>
      <c r="AO211" s="1149" t="str">
        <f>$I$211&amp;"."&amp;$M$211</f>
        <v>.</v>
      </c>
      <c r="AP211" s="1142" t="str">
        <f>$I$211&amp;"."&amp;$M$211&amp;"."&amp;$Q$211</f>
        <v>..</v>
      </c>
      <c r="AQ211" s="1142" t="str">
        <f>$I$211&amp;"."&amp;$M$211&amp;"."&amp;$Q$211&amp;"."&amp;$U$211</f>
        <v>...</v>
      </c>
    </row>
    <row r="212" spans="1:43" s="14384" customFormat="1" ht="17.25" hidden="1" customHeight="1">
      <c r="A212" s="238"/>
      <c r="C212" s="237"/>
      <c r="D212" s="16000"/>
      <c r="E212" s="16008"/>
      <c r="F212" s="16011"/>
      <c r="G212" s="16008"/>
      <c r="H212" s="16014"/>
      <c r="I212" s="16016"/>
      <c r="J212" s="16018"/>
      <c r="K212" s="16003"/>
      <c r="L212" s="16003"/>
      <c r="M212" s="16003"/>
      <c r="N212" s="16005"/>
      <c r="O212" s="16003"/>
      <c r="P212" s="16003"/>
      <c r="Q212" s="16003"/>
      <c r="R212" s="16006"/>
      <c r="S212" s="16003"/>
      <c r="T212" s="1177"/>
      <c r="U212" s="1177"/>
      <c r="V212" s="1177"/>
      <c r="W212" s="1178"/>
      <c r="X212" s="1142"/>
      <c r="Y212" s="1142"/>
      <c r="Z212" s="1142"/>
      <c r="AA212" s="1142"/>
      <c r="AB212" s="1142"/>
      <c r="AC212" s="1142"/>
      <c r="AD212" s="1142"/>
      <c r="AE212" s="1142"/>
      <c r="AF212" s="1142"/>
      <c r="AG212" s="1142"/>
      <c r="AH212" s="1142"/>
      <c r="AI212" s="1142"/>
      <c r="AJ212" s="1142"/>
      <c r="AK212" s="1142"/>
      <c r="AL212" s="1142"/>
      <c r="AM212" s="1142"/>
      <c r="AN212" s="1142"/>
      <c r="AO212" s="1142"/>
      <c r="AP212" s="1142"/>
      <c r="AQ212" s="1142"/>
    </row>
    <row r="213" spans="1:43" s="14384" customFormat="1" ht="17.25" hidden="1" customHeight="1">
      <c r="A213" s="238"/>
      <c r="C213" s="237"/>
      <c r="D213" s="16001"/>
      <c r="E213" s="16009"/>
      <c r="F213" s="16011"/>
      <c r="G213" s="16009"/>
      <c r="H213" s="16014"/>
      <c r="I213" s="16016"/>
      <c r="J213" s="16019"/>
      <c r="K213" s="16003"/>
      <c r="L213" s="16003"/>
      <c r="M213" s="16003"/>
      <c r="N213" s="16006"/>
      <c r="O213" s="16003"/>
      <c r="P213" s="1343"/>
      <c r="Q213" s="1177"/>
      <c r="R213" s="1177"/>
      <c r="S213" s="246"/>
      <c r="T213" s="246"/>
      <c r="U213" s="246"/>
      <c r="V213" s="246"/>
      <c r="W213" s="1178"/>
      <c r="X213" s="1142"/>
      <c r="Y213" s="1142"/>
      <c r="Z213" s="1142"/>
      <c r="AA213" s="1142"/>
      <c r="AB213" s="1142"/>
      <c r="AC213" s="1142"/>
      <c r="AD213" s="1142"/>
      <c r="AE213" s="1142"/>
      <c r="AF213" s="1142"/>
      <c r="AG213" s="1142"/>
      <c r="AH213" s="1142"/>
      <c r="AI213" s="1142"/>
      <c r="AJ213" s="1142"/>
      <c r="AK213" s="1142"/>
      <c r="AL213" s="1142"/>
      <c r="AM213" s="1142"/>
      <c r="AN213" s="1142"/>
      <c r="AO213" s="1142"/>
      <c r="AP213" s="1142"/>
      <c r="AQ213" s="1142"/>
    </row>
    <row r="214" spans="1:43" s="14384" customFormat="1" ht="17.25" hidden="1" customHeight="1">
      <c r="A214" s="238"/>
      <c r="C214" s="237"/>
      <c r="D214" s="16001"/>
      <c r="E214" s="16009"/>
      <c r="F214" s="16011"/>
      <c r="G214" s="16009"/>
      <c r="H214" s="16014"/>
      <c r="I214" s="16016"/>
      <c r="J214" s="16019"/>
      <c r="K214" s="16003"/>
      <c r="L214" s="1177"/>
      <c r="M214" s="1177"/>
      <c r="N214" s="1177"/>
      <c r="O214" s="1177"/>
      <c r="P214" s="1177"/>
      <c r="Q214" s="1177"/>
      <c r="R214" s="1177"/>
      <c r="S214" s="246"/>
      <c r="T214" s="246"/>
      <c r="U214" s="246"/>
      <c r="V214" s="246"/>
      <c r="W214" s="1178"/>
      <c r="X214" s="1142"/>
      <c r="Y214" s="1142"/>
      <c r="Z214" s="1142"/>
      <c r="AA214" s="1142"/>
      <c r="AB214" s="1142"/>
      <c r="AC214" s="1142"/>
      <c r="AD214" s="1142"/>
      <c r="AE214" s="1142"/>
      <c r="AF214" s="1142"/>
      <c r="AG214" s="1142"/>
      <c r="AH214" s="1142"/>
      <c r="AI214" s="1142"/>
      <c r="AJ214" s="1142"/>
      <c r="AK214" s="1142"/>
      <c r="AL214" s="1142"/>
      <c r="AM214" s="1142"/>
      <c r="AN214" s="1142"/>
      <c r="AO214" s="1142"/>
      <c r="AP214" s="1142"/>
      <c r="AQ214" s="1142"/>
    </row>
    <row r="215" spans="1:43" s="14384" customFormat="1" ht="17.25" hidden="1" customHeight="1">
      <c r="A215" s="238"/>
      <c r="C215" s="237"/>
      <c r="D215" s="16001"/>
      <c r="E215" s="16009"/>
      <c r="F215" s="16012"/>
      <c r="G215" s="16009"/>
      <c r="H215" s="1179"/>
      <c r="I215" s="1180"/>
      <c r="J215" s="1180"/>
      <c r="K215" s="1180"/>
      <c r="L215" s="1180"/>
      <c r="M215" s="1180"/>
      <c r="N215" s="1180"/>
      <c r="O215" s="1180"/>
      <c r="P215" s="1180"/>
      <c r="Q215" s="1180"/>
      <c r="R215" s="1180"/>
      <c r="S215" s="1181"/>
      <c r="T215" s="1181"/>
      <c r="U215" s="1181"/>
      <c r="V215" s="1181"/>
      <c r="W215" s="1182"/>
      <c r="X215" s="1142"/>
      <c r="Y215" s="1142"/>
      <c r="Z215" s="1142"/>
      <c r="AA215" s="1142"/>
      <c r="AB215" s="1142"/>
      <c r="AC215" s="1142"/>
      <c r="AD215" s="1142"/>
      <c r="AE215" s="1142"/>
      <c r="AF215" s="1142"/>
      <c r="AG215" s="1142"/>
      <c r="AH215" s="1142"/>
      <c r="AI215" s="1142"/>
      <c r="AJ215" s="1142"/>
      <c r="AK215" s="1142"/>
      <c r="AL215" s="1142"/>
      <c r="AM215" s="1142"/>
      <c r="AN215" s="1142"/>
      <c r="AO215" s="1142"/>
      <c r="AP215" s="1142"/>
      <c r="AQ215" s="1142"/>
    </row>
    <row r="216" spans="1:43" s="14384" customFormat="1" ht="17.25" hidden="1" customHeight="1">
      <c r="A216" s="238"/>
      <c r="C216" s="131"/>
      <c r="D216" s="16000">
        <v>3</v>
      </c>
      <c r="E216" s="16008" t="s">
        <v>411</v>
      </c>
      <c r="F216" s="16010" t="s">
        <v>56</v>
      </c>
      <c r="G216" s="16008"/>
      <c r="H216" s="16013"/>
      <c r="I216" s="16015"/>
      <c r="J216" s="16017"/>
      <c r="K216" s="16002"/>
      <c r="L216" s="16002"/>
      <c r="M216" s="16002"/>
      <c r="N216" s="16004"/>
      <c r="O216" s="16002"/>
      <c r="P216" s="16002"/>
      <c r="Q216" s="16002"/>
      <c r="R216" s="16007"/>
      <c r="S216" s="16002"/>
      <c r="T216" s="1803"/>
      <c r="U216" s="1803"/>
      <c r="V216" s="1805"/>
      <c r="W216" s="1176"/>
      <c r="X216" s="1149"/>
      <c r="Y216" s="1149"/>
      <c r="Z216" s="1149"/>
      <c r="AA216" s="1149"/>
      <c r="AB216" s="1149"/>
      <c r="AC216" s="1149" t="s">
        <v>412</v>
      </c>
      <c r="AD216" s="1149" t="s">
        <v>413</v>
      </c>
      <c r="AE216" s="1149" t="s">
        <v>414</v>
      </c>
      <c r="AF216" s="1149" t="s">
        <v>415</v>
      </c>
      <c r="AG216" s="1149"/>
      <c r="AH216" s="1149" t="str">
        <f>IF($E$216=0,"",$E$216)</f>
        <v>Тариф на подключение (технологическое присоединение) к централизованной системе водоотведения</v>
      </c>
      <c r="AI216" s="1149" t="str">
        <f>IF($G$216=0,"",$G$216)</f>
        <v/>
      </c>
      <c r="AJ216" s="1149" t="str">
        <f>IF($J$216=0,"",$J$216)</f>
        <v/>
      </c>
      <c r="AK216" s="1149" t="str">
        <f>IF($K$216="нет","без дифференциации",IF($N$216=0,"",$N$216))</f>
        <v/>
      </c>
      <c r="AL216" s="1149" t="str">
        <f>IF($O$216="нет","без дифференциации",IF($R$216=0,"",$R$216))</f>
        <v/>
      </c>
      <c r="AM216" s="1149" t="str">
        <f>IF($S$216="нет","без дифференциации",IF($V$216=0,"",$V$216))</f>
        <v/>
      </c>
      <c r="AN216" s="1634">
        <f>$I$216</f>
        <v>0</v>
      </c>
      <c r="AO216" s="1149" t="str">
        <f>$I$216&amp;"."&amp;$M$216</f>
        <v>.</v>
      </c>
      <c r="AP216" s="1148" t="str">
        <f>$I$216&amp;"."&amp;$M$216&amp;"."&amp;$Q$216</f>
        <v>..</v>
      </c>
      <c r="AQ216" s="1148" t="str">
        <f>$I$216&amp;"."&amp;$M$216&amp;"."&amp;$Q$216&amp;"."&amp;$U$216</f>
        <v>...</v>
      </c>
    </row>
    <row r="217" spans="1:43" s="14384" customFormat="1" ht="17.25" hidden="1" customHeight="1">
      <c r="A217" s="238"/>
      <c r="C217" s="237"/>
      <c r="D217" s="16000"/>
      <c r="E217" s="16008"/>
      <c r="F217" s="16011"/>
      <c r="G217" s="16008"/>
      <c r="H217" s="16014"/>
      <c r="I217" s="16016"/>
      <c r="J217" s="16018"/>
      <c r="K217" s="16003"/>
      <c r="L217" s="16003"/>
      <c r="M217" s="16003"/>
      <c r="N217" s="16005"/>
      <c r="O217" s="16003"/>
      <c r="P217" s="16003"/>
      <c r="Q217" s="16003"/>
      <c r="R217" s="16006"/>
      <c r="S217" s="16003"/>
      <c r="T217" s="1808"/>
      <c r="U217" s="1808"/>
      <c r="V217" s="1808"/>
      <c r="W217" s="1809"/>
      <c r="X217" s="1148"/>
      <c r="Y217" s="1148"/>
      <c r="Z217" s="1148"/>
      <c r="AA217" s="1148"/>
      <c r="AB217" s="1148"/>
      <c r="AC217" s="1148"/>
      <c r="AD217" s="1148"/>
      <c r="AE217" s="1148"/>
      <c r="AF217" s="1148"/>
      <c r="AG217" s="1148"/>
      <c r="AH217" s="1148"/>
      <c r="AI217" s="1148"/>
      <c r="AJ217" s="1148"/>
      <c r="AK217" s="1148"/>
      <c r="AL217" s="1148"/>
      <c r="AM217" s="1148"/>
      <c r="AN217" s="1148"/>
      <c r="AO217" s="1148"/>
      <c r="AP217" s="1148"/>
      <c r="AQ217" s="1148"/>
    </row>
    <row r="218" spans="1:43" s="14384" customFormat="1" ht="17.25" hidden="1" customHeight="1">
      <c r="A218" s="238"/>
      <c r="C218" s="237"/>
      <c r="D218" s="16001"/>
      <c r="E218" s="16009"/>
      <c r="F218" s="16011"/>
      <c r="G218" s="16009"/>
      <c r="H218" s="16014"/>
      <c r="I218" s="16016"/>
      <c r="J218" s="16019"/>
      <c r="K218" s="16003"/>
      <c r="L218" s="16003"/>
      <c r="M218" s="16003"/>
      <c r="N218" s="16006"/>
      <c r="O218" s="16003"/>
      <c r="P218" s="1804"/>
      <c r="Q218" s="1808"/>
      <c r="R218" s="1808"/>
      <c r="S218" s="246"/>
      <c r="T218" s="246"/>
      <c r="U218" s="246"/>
      <c r="V218" s="246"/>
      <c r="W218" s="1809"/>
      <c r="X218" s="1148"/>
      <c r="Y218" s="1148"/>
      <c r="Z218" s="1148"/>
      <c r="AA218" s="1148"/>
      <c r="AB218" s="1148"/>
      <c r="AC218" s="1148"/>
      <c r="AD218" s="1148"/>
      <c r="AE218" s="1148"/>
      <c r="AF218" s="1148"/>
      <c r="AG218" s="1148"/>
      <c r="AH218" s="1148"/>
      <c r="AI218" s="1148"/>
      <c r="AJ218" s="1148"/>
      <c r="AK218" s="1148"/>
      <c r="AL218" s="1148"/>
      <c r="AM218" s="1148"/>
      <c r="AN218" s="1148"/>
      <c r="AO218" s="1148"/>
      <c r="AP218" s="1148"/>
      <c r="AQ218" s="1148"/>
    </row>
    <row r="219" spans="1:43" s="14384" customFormat="1" ht="17.25" hidden="1" customHeight="1">
      <c r="A219" s="238"/>
      <c r="C219" s="237"/>
      <c r="D219" s="16001"/>
      <c r="E219" s="16009"/>
      <c r="F219" s="16011"/>
      <c r="G219" s="16009"/>
      <c r="H219" s="16014"/>
      <c r="I219" s="16016"/>
      <c r="J219" s="16019"/>
      <c r="K219" s="16003"/>
      <c r="L219" s="1808"/>
      <c r="M219" s="1808"/>
      <c r="N219" s="1808"/>
      <c r="O219" s="1808"/>
      <c r="P219" s="1808"/>
      <c r="Q219" s="1808"/>
      <c r="R219" s="1808"/>
      <c r="S219" s="246"/>
      <c r="T219" s="246"/>
      <c r="U219" s="246"/>
      <c r="V219" s="246"/>
      <c r="W219" s="1809"/>
      <c r="X219" s="1148"/>
      <c r="Y219" s="1148"/>
      <c r="Z219" s="1148"/>
      <c r="AA219" s="1148"/>
      <c r="AB219" s="1148"/>
      <c r="AC219" s="1148"/>
      <c r="AD219" s="1148"/>
      <c r="AE219" s="1148"/>
      <c r="AF219" s="1148"/>
      <c r="AG219" s="1148"/>
      <c r="AH219" s="1148"/>
      <c r="AI219" s="1148"/>
      <c r="AJ219" s="1148"/>
      <c r="AK219" s="1148"/>
      <c r="AL219" s="1148"/>
      <c r="AM219" s="1148"/>
      <c r="AN219" s="1148"/>
      <c r="AO219" s="1148"/>
      <c r="AP219" s="1148"/>
      <c r="AQ219" s="1148"/>
    </row>
    <row r="220" spans="1:43" s="14384" customFormat="1" ht="17.25" hidden="1" customHeight="1">
      <c r="A220" s="238"/>
      <c r="C220" s="237"/>
      <c r="D220" s="16001"/>
      <c r="E220" s="16009"/>
      <c r="F220" s="16012"/>
      <c r="G220" s="16009"/>
      <c r="H220" s="1179"/>
      <c r="I220" s="1806"/>
      <c r="J220" s="1806"/>
      <c r="K220" s="1806"/>
      <c r="L220" s="1806"/>
      <c r="M220" s="1806"/>
      <c r="N220" s="1806"/>
      <c r="O220" s="1806"/>
      <c r="P220" s="1806"/>
      <c r="Q220" s="1806"/>
      <c r="R220" s="1806"/>
      <c r="S220" s="1181"/>
      <c r="T220" s="1181"/>
      <c r="U220" s="1181"/>
      <c r="V220" s="1181"/>
      <c r="W220" s="1807"/>
      <c r="X220" s="1148"/>
      <c r="Y220" s="1148"/>
      <c r="Z220" s="1148"/>
      <c r="AA220" s="1148"/>
      <c r="AB220" s="1148"/>
      <c r="AC220" s="1148"/>
      <c r="AD220" s="1148"/>
      <c r="AE220" s="1148"/>
      <c r="AF220" s="1148"/>
      <c r="AG220" s="1148"/>
      <c r="AH220" s="1148"/>
      <c r="AI220" s="1148"/>
      <c r="AJ220" s="1148"/>
      <c r="AK220" s="1148"/>
      <c r="AL220" s="1148"/>
      <c r="AM220" s="1148"/>
      <c r="AN220" s="1148"/>
      <c r="AO220" s="1148"/>
      <c r="AP220" s="1148"/>
      <c r="AQ220" s="1148"/>
    </row>
    <row r="224" spans="1:43" ht="11.25" customHeight="1">
      <c r="E224" s="1228"/>
    </row>
    <row r="225" spans="5:5" ht="11.25" customHeight="1">
      <c r="E225" s="1228"/>
    </row>
    <row r="226" spans="5:5" ht="11.25" customHeight="1">
      <c r="E226" s="1228"/>
    </row>
    <row r="227" spans="5:5" ht="11.25" customHeight="1">
      <c r="E227" s="1228"/>
    </row>
    <row r="228" spans="5:5" ht="11.25" customHeight="1">
      <c r="E228" s="1228"/>
    </row>
    <row r="229" spans="5:5" ht="11.25" customHeight="1">
      <c r="E229" s="1228"/>
    </row>
    <row r="230" spans="5:5" ht="11.25" customHeight="1">
      <c r="E230" s="1228"/>
    </row>
  </sheetData>
  <sheetProtection formatColumns="0" formatRows="0" insertRows="0" deleteColumns="0" deleteRows="0" sort="0" autoFilter="0"/>
  <mergeCells count="631">
    <mergeCell ref="L190:L192"/>
    <mergeCell ref="M190:M192"/>
    <mergeCell ref="N190:N192"/>
    <mergeCell ref="O190:O192"/>
    <mergeCell ref="P190:P191"/>
    <mergeCell ref="Q190:Q191"/>
    <mergeCell ref="R190:R191"/>
    <mergeCell ref="S190:S191"/>
    <mergeCell ref="W190:W191"/>
    <mergeCell ref="L187:L189"/>
    <mergeCell ref="M187:M189"/>
    <mergeCell ref="N187:N189"/>
    <mergeCell ref="O187:O189"/>
    <mergeCell ref="P187:P188"/>
    <mergeCell ref="Q187:Q188"/>
    <mergeCell ref="R187:R188"/>
    <mergeCell ref="S187:S188"/>
    <mergeCell ref="W187:W188"/>
    <mergeCell ref="L184:L186"/>
    <mergeCell ref="M184:M186"/>
    <mergeCell ref="N184:N186"/>
    <mergeCell ref="O184:O186"/>
    <mergeCell ref="P184:P185"/>
    <mergeCell ref="Q184:Q185"/>
    <mergeCell ref="R184:R185"/>
    <mergeCell ref="S184:S185"/>
    <mergeCell ref="W184:W185"/>
    <mergeCell ref="L181:L183"/>
    <mergeCell ref="M181:M183"/>
    <mergeCell ref="N181:N183"/>
    <mergeCell ref="O181:O183"/>
    <mergeCell ref="P181:P182"/>
    <mergeCell ref="Q181:Q182"/>
    <mergeCell ref="R181:R182"/>
    <mergeCell ref="S181:S182"/>
    <mergeCell ref="W181:W182"/>
    <mergeCell ref="L178:L180"/>
    <mergeCell ref="M178:M180"/>
    <mergeCell ref="N178:N180"/>
    <mergeCell ref="O178:O180"/>
    <mergeCell ref="P178:P179"/>
    <mergeCell ref="Q178:Q179"/>
    <mergeCell ref="R178:R179"/>
    <mergeCell ref="S178:S179"/>
    <mergeCell ref="W178:W179"/>
    <mergeCell ref="R172:R173"/>
    <mergeCell ref="S172:S173"/>
    <mergeCell ref="W172:W173"/>
    <mergeCell ref="L175:L177"/>
    <mergeCell ref="M175:M177"/>
    <mergeCell ref="N175:N177"/>
    <mergeCell ref="O175:O177"/>
    <mergeCell ref="P175:P176"/>
    <mergeCell ref="Q175:Q176"/>
    <mergeCell ref="R175:R176"/>
    <mergeCell ref="S175:S176"/>
    <mergeCell ref="W175:W176"/>
    <mergeCell ref="H164:H193"/>
    <mergeCell ref="I164:I193"/>
    <mergeCell ref="J164:J193"/>
    <mergeCell ref="K164:K193"/>
    <mergeCell ref="S166:S167"/>
    <mergeCell ref="W166:W167"/>
    <mergeCell ref="P166:P167"/>
    <mergeCell ref="Q166:Q167"/>
    <mergeCell ref="R166:R167"/>
    <mergeCell ref="L169:L171"/>
    <mergeCell ref="M169:M171"/>
    <mergeCell ref="N169:N171"/>
    <mergeCell ref="O169:O171"/>
    <mergeCell ref="P169:P170"/>
    <mergeCell ref="Q169:Q170"/>
    <mergeCell ref="R169:R170"/>
    <mergeCell ref="S169:S170"/>
    <mergeCell ref="W169:W170"/>
    <mergeCell ref="L172:L174"/>
    <mergeCell ref="M172:M174"/>
    <mergeCell ref="N172:N174"/>
    <mergeCell ref="O172:O174"/>
    <mergeCell ref="P172:P173"/>
    <mergeCell ref="Q172:Q173"/>
    <mergeCell ref="W164:W165"/>
    <mergeCell ref="L164:L168"/>
    <mergeCell ref="M164:M168"/>
    <mergeCell ref="N164:N168"/>
    <mergeCell ref="O164:O168"/>
    <mergeCell ref="P164:P165"/>
    <mergeCell ref="Q164:Q165"/>
    <mergeCell ref="R164:R165"/>
    <mergeCell ref="S164:S165"/>
    <mergeCell ref="L160:L162"/>
    <mergeCell ref="M160:M162"/>
    <mergeCell ref="N160:N162"/>
    <mergeCell ref="O160:O162"/>
    <mergeCell ref="P160:P161"/>
    <mergeCell ref="Q160:Q161"/>
    <mergeCell ref="R160:R161"/>
    <mergeCell ref="S160:S161"/>
    <mergeCell ref="W160:W161"/>
    <mergeCell ref="L157:L159"/>
    <mergeCell ref="M157:M159"/>
    <mergeCell ref="N157:N159"/>
    <mergeCell ref="O157:O159"/>
    <mergeCell ref="P157:P158"/>
    <mergeCell ref="Q157:Q158"/>
    <mergeCell ref="R157:R158"/>
    <mergeCell ref="S157:S158"/>
    <mergeCell ref="W157:W158"/>
    <mergeCell ref="L154:L156"/>
    <mergeCell ref="M154:M156"/>
    <mergeCell ref="N154:N156"/>
    <mergeCell ref="O154:O156"/>
    <mergeCell ref="P154:P155"/>
    <mergeCell ref="Q154:Q155"/>
    <mergeCell ref="R154:R155"/>
    <mergeCell ref="S154:S155"/>
    <mergeCell ref="W154:W155"/>
    <mergeCell ref="L151:L153"/>
    <mergeCell ref="M151:M153"/>
    <mergeCell ref="N151:N153"/>
    <mergeCell ref="O151:O153"/>
    <mergeCell ref="P151:P152"/>
    <mergeCell ref="Q151:Q152"/>
    <mergeCell ref="R151:R152"/>
    <mergeCell ref="S151:S152"/>
    <mergeCell ref="W151:W152"/>
    <mergeCell ref="L148:L150"/>
    <mergeCell ref="M148:M150"/>
    <mergeCell ref="N148:N150"/>
    <mergeCell ref="O148:O150"/>
    <mergeCell ref="P148:P149"/>
    <mergeCell ref="Q148:Q149"/>
    <mergeCell ref="R148:R149"/>
    <mergeCell ref="S148:S149"/>
    <mergeCell ref="W148:W149"/>
    <mergeCell ref="R142:R143"/>
    <mergeCell ref="S142:S143"/>
    <mergeCell ref="W142:W143"/>
    <mergeCell ref="L145:L147"/>
    <mergeCell ref="M145:M147"/>
    <mergeCell ref="N145:N147"/>
    <mergeCell ref="O145:O147"/>
    <mergeCell ref="P145:P146"/>
    <mergeCell ref="Q145:Q146"/>
    <mergeCell ref="R145:R146"/>
    <mergeCell ref="S145:S146"/>
    <mergeCell ref="W145:W146"/>
    <mergeCell ref="H134:H163"/>
    <mergeCell ref="I134:I163"/>
    <mergeCell ref="J134:J163"/>
    <mergeCell ref="K134:K163"/>
    <mergeCell ref="S136:S137"/>
    <mergeCell ref="W136:W137"/>
    <mergeCell ref="P136:P137"/>
    <mergeCell ref="Q136:Q137"/>
    <mergeCell ref="R136:R137"/>
    <mergeCell ref="L139:L141"/>
    <mergeCell ref="M139:M141"/>
    <mergeCell ref="N139:N141"/>
    <mergeCell ref="O139:O141"/>
    <mergeCell ref="P139:P140"/>
    <mergeCell ref="Q139:Q140"/>
    <mergeCell ref="R139:R140"/>
    <mergeCell ref="S139:S140"/>
    <mergeCell ref="W139:W140"/>
    <mergeCell ref="L142:L144"/>
    <mergeCell ref="M142:M144"/>
    <mergeCell ref="N142:N144"/>
    <mergeCell ref="O142:O144"/>
    <mergeCell ref="P142:P143"/>
    <mergeCell ref="Q142:Q143"/>
    <mergeCell ref="W134:W135"/>
    <mergeCell ref="L134:L138"/>
    <mergeCell ref="M134:M138"/>
    <mergeCell ref="N134:N138"/>
    <mergeCell ref="O134:O138"/>
    <mergeCell ref="P134:P135"/>
    <mergeCell ref="Q134:Q135"/>
    <mergeCell ref="R134:R135"/>
    <mergeCell ref="S134:S135"/>
    <mergeCell ref="L130:L132"/>
    <mergeCell ref="M130:M132"/>
    <mergeCell ref="N130:N132"/>
    <mergeCell ref="O130:O132"/>
    <mergeCell ref="P130:P131"/>
    <mergeCell ref="Q130:Q131"/>
    <mergeCell ref="R130:R131"/>
    <mergeCell ref="S130:S131"/>
    <mergeCell ref="W130:W131"/>
    <mergeCell ref="L123:L129"/>
    <mergeCell ref="M123:M129"/>
    <mergeCell ref="N123:N129"/>
    <mergeCell ref="O123:O129"/>
    <mergeCell ref="P123:P124"/>
    <mergeCell ref="Q123:Q124"/>
    <mergeCell ref="R123:R124"/>
    <mergeCell ref="S123:S124"/>
    <mergeCell ref="W123:W124"/>
    <mergeCell ref="S125:S126"/>
    <mergeCell ref="W125:W126"/>
    <mergeCell ref="P125:P126"/>
    <mergeCell ref="Q125:Q126"/>
    <mergeCell ref="R125:R126"/>
    <mergeCell ref="S127:S128"/>
    <mergeCell ref="W127:W128"/>
    <mergeCell ref="P127:P128"/>
    <mergeCell ref="Q127:Q128"/>
    <mergeCell ref="R127:R128"/>
    <mergeCell ref="L120:L122"/>
    <mergeCell ref="M120:M122"/>
    <mergeCell ref="N120:N122"/>
    <mergeCell ref="O120:O122"/>
    <mergeCell ref="P120:P121"/>
    <mergeCell ref="Q120:Q121"/>
    <mergeCell ref="R120:R121"/>
    <mergeCell ref="S120:S121"/>
    <mergeCell ref="W120:W121"/>
    <mergeCell ref="L117:L119"/>
    <mergeCell ref="M117:M119"/>
    <mergeCell ref="N117:N119"/>
    <mergeCell ref="O117:O119"/>
    <mergeCell ref="P117:P118"/>
    <mergeCell ref="Q117:Q118"/>
    <mergeCell ref="R117:R118"/>
    <mergeCell ref="S117:S118"/>
    <mergeCell ref="W117:W118"/>
    <mergeCell ref="O111:O113"/>
    <mergeCell ref="P111:P112"/>
    <mergeCell ref="Q111:Q112"/>
    <mergeCell ref="R111:R112"/>
    <mergeCell ref="S111:S112"/>
    <mergeCell ref="W111:W112"/>
    <mergeCell ref="L114:L116"/>
    <mergeCell ref="M114:M116"/>
    <mergeCell ref="N114:N116"/>
    <mergeCell ref="O114:O116"/>
    <mergeCell ref="P114:P115"/>
    <mergeCell ref="Q114:Q115"/>
    <mergeCell ref="R114:R115"/>
    <mergeCell ref="S114:S115"/>
    <mergeCell ref="W114:W115"/>
    <mergeCell ref="W105:W106"/>
    <mergeCell ref="L108:L110"/>
    <mergeCell ref="M108:M110"/>
    <mergeCell ref="N108:N110"/>
    <mergeCell ref="O108:O110"/>
    <mergeCell ref="P108:P109"/>
    <mergeCell ref="Q108:Q109"/>
    <mergeCell ref="R108:R109"/>
    <mergeCell ref="S108:S109"/>
    <mergeCell ref="W108:W109"/>
    <mergeCell ref="W100:W101"/>
    <mergeCell ref="O100:O104"/>
    <mergeCell ref="P100:P101"/>
    <mergeCell ref="Q100:Q101"/>
    <mergeCell ref="R100:R101"/>
    <mergeCell ref="H100:H133"/>
    <mergeCell ref="I100:I133"/>
    <mergeCell ref="J100:J133"/>
    <mergeCell ref="K100:K133"/>
    <mergeCell ref="L100:L104"/>
    <mergeCell ref="S100:S101"/>
    <mergeCell ref="M100:M104"/>
    <mergeCell ref="N100:N104"/>
    <mergeCell ref="S102:S103"/>
    <mergeCell ref="W102:W103"/>
    <mergeCell ref="P102:P103"/>
    <mergeCell ref="Q102:Q103"/>
    <mergeCell ref="R102:R103"/>
    <mergeCell ref="L105:L107"/>
    <mergeCell ref="M105:M107"/>
    <mergeCell ref="N105:N107"/>
    <mergeCell ref="O105:O107"/>
    <mergeCell ref="P105:P106"/>
    <mergeCell ref="Q105:Q106"/>
    <mergeCell ref="M216:M218"/>
    <mergeCell ref="N216:N218"/>
    <mergeCell ref="O216:O218"/>
    <mergeCell ref="P216:P217"/>
    <mergeCell ref="Q216:Q217"/>
    <mergeCell ref="R216:R217"/>
    <mergeCell ref="S216:S217"/>
    <mergeCell ref="D216:D220"/>
    <mergeCell ref="E216:E220"/>
    <mergeCell ref="F216:F220"/>
    <mergeCell ref="G216:G220"/>
    <mergeCell ref="H216:H219"/>
    <mergeCell ref="I216:I219"/>
    <mergeCell ref="J216:J219"/>
    <mergeCell ref="K216:K219"/>
    <mergeCell ref="L216:L218"/>
    <mergeCell ref="S94:S95"/>
    <mergeCell ref="D200:D204"/>
    <mergeCell ref="E200:E204"/>
    <mergeCell ref="F200:F204"/>
    <mergeCell ref="G200:G204"/>
    <mergeCell ref="H200:H203"/>
    <mergeCell ref="I200:I203"/>
    <mergeCell ref="J200:J203"/>
    <mergeCell ref="K200:K203"/>
    <mergeCell ref="L200:L202"/>
    <mergeCell ref="M200:M202"/>
    <mergeCell ref="N200:N202"/>
    <mergeCell ref="O200:O202"/>
    <mergeCell ref="P200:P201"/>
    <mergeCell ref="Q200:Q201"/>
    <mergeCell ref="R200:R201"/>
    <mergeCell ref="S200:S201"/>
    <mergeCell ref="D94:D98"/>
    <mergeCell ref="E94:E98"/>
    <mergeCell ref="R105:R106"/>
    <mergeCell ref="S105:S106"/>
    <mergeCell ref="L111:L113"/>
    <mergeCell ref="M111:M113"/>
    <mergeCell ref="N111:N113"/>
    <mergeCell ref="K94:K97"/>
    <mergeCell ref="L94:L96"/>
    <mergeCell ref="S211:S212"/>
    <mergeCell ref="D211:D215"/>
    <mergeCell ref="E211:E215"/>
    <mergeCell ref="F211:F215"/>
    <mergeCell ref="G211:G215"/>
    <mergeCell ref="H211:H214"/>
    <mergeCell ref="I211:I214"/>
    <mergeCell ref="J211:J214"/>
    <mergeCell ref="K211:K214"/>
    <mergeCell ref="L211:L213"/>
    <mergeCell ref="H206:H209"/>
    <mergeCell ref="I206:I209"/>
    <mergeCell ref="J206:J209"/>
    <mergeCell ref="K206:K209"/>
    <mergeCell ref="L206:L208"/>
    <mergeCell ref="M206:M208"/>
    <mergeCell ref="N206:N208"/>
    <mergeCell ref="N94:N96"/>
    <mergeCell ref="O94:O96"/>
    <mergeCell ref="P94:P95"/>
    <mergeCell ref="Q94:Q95"/>
    <mergeCell ref="R94:R95"/>
    <mergeCell ref="M211:M213"/>
    <mergeCell ref="N211:N213"/>
    <mergeCell ref="O211:O213"/>
    <mergeCell ref="P206:P207"/>
    <mergeCell ref="Q206:Q207"/>
    <mergeCell ref="R206:R207"/>
    <mergeCell ref="P211:P212"/>
    <mergeCell ref="Q211:Q212"/>
    <mergeCell ref="R211:R212"/>
    <mergeCell ref="S206:S207"/>
    <mergeCell ref="D206:D210"/>
    <mergeCell ref="E206:E210"/>
    <mergeCell ref="F206:F210"/>
    <mergeCell ref="G206:G210"/>
    <mergeCell ref="M195:M197"/>
    <mergeCell ref="N195:N197"/>
    <mergeCell ref="O195:O197"/>
    <mergeCell ref="P195:P196"/>
    <mergeCell ref="Q195:Q196"/>
    <mergeCell ref="R195:R196"/>
    <mergeCell ref="S195:S196"/>
    <mergeCell ref="D195:D199"/>
    <mergeCell ref="E195:E199"/>
    <mergeCell ref="F195:F199"/>
    <mergeCell ref="G195:G199"/>
    <mergeCell ref="H195:H198"/>
    <mergeCell ref="I195:I198"/>
    <mergeCell ref="J195:J198"/>
    <mergeCell ref="K195:K198"/>
    <mergeCell ref="L195:L197"/>
    <mergeCell ref="O206:O208"/>
    <mergeCell ref="R13:R14"/>
    <mergeCell ref="S13:S14"/>
    <mergeCell ref="M43:M45"/>
    <mergeCell ref="N43:N45"/>
    <mergeCell ref="O43:O45"/>
    <mergeCell ref="N33:N35"/>
    <mergeCell ref="D100:D194"/>
    <mergeCell ref="E100:E194"/>
    <mergeCell ref="F100:F194"/>
    <mergeCell ref="G100:G194"/>
    <mergeCell ref="P48:P49"/>
    <mergeCell ref="Q48:Q49"/>
    <mergeCell ref="R48:R49"/>
    <mergeCell ref="S48:S49"/>
    <mergeCell ref="P43:P44"/>
    <mergeCell ref="Q43:Q44"/>
    <mergeCell ref="R43:R44"/>
    <mergeCell ref="S43:S44"/>
    <mergeCell ref="S23:S24"/>
    <mergeCell ref="F94:F98"/>
    <mergeCell ref="G94:G98"/>
    <mergeCell ref="H94:H97"/>
    <mergeCell ref="I94:I97"/>
    <mergeCell ref="J94:J97"/>
    <mergeCell ref="S18:S19"/>
    <mergeCell ref="O48:O50"/>
    <mergeCell ref="E72:W72"/>
    <mergeCell ref="E64:W64"/>
    <mergeCell ref="E65:W65"/>
    <mergeCell ref="E66:W66"/>
    <mergeCell ref="E67:W67"/>
    <mergeCell ref="E68:W68"/>
    <mergeCell ref="L74:L76"/>
    <mergeCell ref="M74:M76"/>
    <mergeCell ref="E70:W70"/>
    <mergeCell ref="E71:W71"/>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K84:K87"/>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5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2"/>
    <dataValidation allowBlank="1" showInputMessage="1" showErrorMessage="1" prompt="Выберите виды деятельности, выполнив двойной щелчок левой кнопки мыши по ячейке." sqref="G162"/>
    <dataValidation allowBlank="1" showInputMessage="1" showErrorMessage="1" prompt="Для выбора выполните двойной щелчок левой клавиши мыши по соответствующей ячейке." sqref="F162"/>
    <dataValidation allowBlank="1" showInputMessage="1" showErrorMessage="1" prompt="Для выбора выполните двойной щелчок левой клавиши мыши по соответствующей ячейке." sqref="S161"/>
    <dataValidation type="textLength" operator="lessThanOrEqual" allowBlank="1" showInputMessage="1" showErrorMessage="1" errorTitle="Ошибка" error="Допускается ввод не более 900 символов!" sqref="R1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1"/>
    <dataValidation type="textLength" operator="lessThanOrEqual" allowBlank="1" showInputMessage="1" showErrorMessage="1" errorTitle="Ошибка" error="Допускается ввод не более 900 символов!" sqref="J161">
      <formula1>900</formula1>
    </dataValidation>
    <dataValidation allowBlank="1" showInputMessage="1" showErrorMessage="1" prompt="Выберите виды деятельности, выполнив двойной щелчок левой кнопки мыши по ячейке." sqref="G161"/>
    <dataValidation allowBlank="1" showInputMessage="1" showErrorMessage="1" prompt="Для выбора выполните двойной щелчок левой клавиши мыши по соответствующей ячейке." sqref="F161"/>
    <dataValidation type="textLength" operator="lessThanOrEqual" allowBlank="1" showInputMessage="1" showErrorMessage="1" errorTitle="Ошибка" error="Допускается ввод не более 900 символов!" sqref="W160">
      <formula1>900</formula1>
    </dataValidation>
    <dataValidation type="textLength" operator="lessThanOrEqual" allowBlank="1" showInputMessage="1" showErrorMessage="1" errorTitle="Ошибка" error="Допускается ввод не более 900 символов!" sqref="V160">
      <formula1>900</formula1>
    </dataValidation>
    <dataValidation allowBlank="1" showInputMessage="1" showErrorMessage="1" prompt="Для выбора выполните двойной щелчок левой клавиши мыши по соответствующей ячейке." sqref="S160"/>
    <dataValidation type="textLength" operator="lessThanOrEqual" allowBlank="1" showInputMessage="1" showErrorMessage="1" errorTitle="Ошибка" error="Допускается ввод не более 900 символов!" sqref="R160">
      <formula1>900</formula1>
    </dataValidation>
    <dataValidation allowBlank="1" showInputMessage="1" showErrorMessage="1" prompt="Для выбора выполните двойной щелчок левой клавиши мыши по соответствующей ячейке." sqref="O1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0"/>
    <dataValidation type="textLength" operator="lessThanOrEqual" allowBlank="1" showInputMessage="1" showErrorMessage="1" errorTitle="Ошибка" error="Допускается ввод не более 900 символов!" sqref="J160">
      <formula1>900</formula1>
    </dataValidation>
    <dataValidation allowBlank="1" showInputMessage="1" showErrorMessage="1" prompt="Выберите виды деятельности, выполнив двойной щелчок левой кнопки мыши по ячейке." sqref="G160"/>
    <dataValidation allowBlank="1" showInputMessage="1" showErrorMessage="1" prompt="Для выбора выполните двойной щелчок левой клавиши мыши по соответствующей ячейке." sqref="F1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9"/>
    <dataValidation allowBlank="1" showInputMessage="1" showErrorMessage="1" prompt="Выберите виды деятельности, выполнив двойной щелчок левой кнопки мыши по ячейке." sqref="G159"/>
    <dataValidation allowBlank="1" showInputMessage="1" showErrorMessage="1" prompt="Для выбора выполните двойной щелчок левой клавиши мыши по соответствующей ячейке." sqref="F159"/>
    <dataValidation allowBlank="1" showInputMessage="1" showErrorMessage="1" prompt="Для выбора выполните двойной щелчок левой клавиши мыши по соответствующей ячейке." sqref="S158"/>
    <dataValidation type="textLength" operator="lessThanOrEqual" allowBlank="1" showInputMessage="1" showErrorMessage="1" errorTitle="Ошибка" error="Допускается ввод не более 900 символов!" sqref="R1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8"/>
    <dataValidation type="textLength" operator="lessThanOrEqual" allowBlank="1" showInputMessage="1" showErrorMessage="1" errorTitle="Ошибка" error="Допускается ввод не более 900 символов!" sqref="J158">
      <formula1>900</formula1>
    </dataValidation>
    <dataValidation allowBlank="1" showInputMessage="1" showErrorMessage="1" prompt="Выберите виды деятельности, выполнив двойной щелчок левой кнопки мыши по ячейке." sqref="G158"/>
    <dataValidation allowBlank="1" showInputMessage="1" showErrorMessage="1" prompt="Для выбора выполните двойной щелчок левой клавиши мыши по соответствующей ячейке." sqref="F158"/>
    <dataValidation type="textLength" operator="lessThanOrEqual" allowBlank="1" showInputMessage="1" showErrorMessage="1" errorTitle="Ошибка" error="Допускается ввод не более 900 символов!" sqref="W157">
      <formula1>900</formula1>
    </dataValidation>
    <dataValidation type="textLength" operator="lessThanOrEqual" allowBlank="1" showInputMessage="1" showErrorMessage="1" errorTitle="Ошибка" error="Допускается ввод не более 900 символов!" sqref="V157">
      <formula1>900</formula1>
    </dataValidation>
    <dataValidation allowBlank="1" showInputMessage="1" showErrorMessage="1" prompt="Для выбора выполните двойной щелчок левой клавиши мыши по соответствующей ячейке." sqref="S157"/>
    <dataValidation type="textLength" operator="lessThanOrEqual" allowBlank="1" showInputMessage="1" showErrorMessage="1" errorTitle="Ошибка" error="Допускается ввод не более 900 символов!" sqref="R157">
      <formula1>900</formula1>
    </dataValidation>
    <dataValidation allowBlank="1" showInputMessage="1" showErrorMessage="1" prompt="Для выбора выполните двойной щелчок левой клавиши мыши по соответствующей ячейке." sqref="O1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7"/>
    <dataValidation type="textLength" operator="lessThanOrEqual" allowBlank="1" showInputMessage="1" showErrorMessage="1" errorTitle="Ошибка" error="Допускается ввод не более 900 символов!" sqref="J157">
      <formula1>900</formula1>
    </dataValidation>
    <dataValidation allowBlank="1" showInputMessage="1" showErrorMessage="1" prompt="Выберите виды деятельности, выполнив двойной щелчок левой кнопки мыши по ячейке." sqref="G157"/>
    <dataValidation allowBlank="1" showInputMessage="1" showErrorMessage="1" prompt="Для выбора выполните двойной щелчок левой клавиши мыши по соответствующей ячейке." sqref="F1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6"/>
    <dataValidation allowBlank="1" showInputMessage="1" showErrorMessage="1" prompt="Выберите виды деятельности, выполнив двойной щелчок левой кнопки мыши по ячейке." sqref="G156"/>
    <dataValidation allowBlank="1" showInputMessage="1" showErrorMessage="1" prompt="Для выбора выполните двойной щелчок левой клавиши мыши по соответствующей ячейке." sqref="F156"/>
    <dataValidation allowBlank="1" showInputMessage="1" showErrorMessage="1" prompt="Для выбора выполните двойной щелчок левой клавиши мыши по соответствующей ячейке." sqref="S155"/>
    <dataValidation type="textLength" operator="lessThanOrEqual" allowBlank="1" showInputMessage="1" showErrorMessage="1" errorTitle="Ошибка" error="Допускается ввод не более 900 символов!" sqref="R1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5"/>
    <dataValidation type="textLength" operator="lessThanOrEqual" allowBlank="1" showInputMessage="1" showErrorMessage="1" errorTitle="Ошибка" error="Допускается ввод не более 900 символов!" sqref="J155">
      <formula1>900</formula1>
    </dataValidation>
    <dataValidation allowBlank="1" showInputMessage="1" showErrorMessage="1" prompt="Выберите виды деятельности, выполнив двойной щелчок левой кнопки мыши по ячейке." sqref="G155"/>
    <dataValidation allowBlank="1" showInputMessage="1" showErrorMessage="1" prompt="Для выбора выполните двойной щелчок левой клавиши мыши по соответствующей ячейке." sqref="F155"/>
    <dataValidation type="textLength" operator="lessThanOrEqual" allowBlank="1" showInputMessage="1" showErrorMessage="1" errorTitle="Ошибка" error="Допускается ввод не более 900 символов!" sqref="W154">
      <formula1>900</formula1>
    </dataValidation>
    <dataValidation type="textLength" operator="lessThanOrEqual" allowBlank="1" showInputMessage="1" showErrorMessage="1" errorTitle="Ошибка" error="Допускается ввод не более 900 символов!" sqref="V154">
      <formula1>900</formula1>
    </dataValidation>
    <dataValidation allowBlank="1" showInputMessage="1" showErrorMessage="1" prompt="Для выбора выполните двойной щелчок левой клавиши мыши по соответствующей ячейке." sqref="S154"/>
    <dataValidation type="textLength" operator="lessThanOrEqual" allowBlank="1" showInputMessage="1" showErrorMessage="1" errorTitle="Ошибка" error="Допускается ввод не более 900 символов!" sqref="R154">
      <formula1>900</formula1>
    </dataValidation>
    <dataValidation allowBlank="1" showInputMessage="1" showErrorMessage="1" prompt="Для выбора выполните двойной щелчок левой клавиши мыши по соответствующей ячейке." sqref="O1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type="textLength" operator="lessThanOrEqual" allowBlank="1" showInputMessage="1" showErrorMessage="1" errorTitle="Ошибка" error="Допускается ввод не более 900 символов!" sqref="J154">
      <formula1>900</formula1>
    </dataValidation>
    <dataValidation allowBlank="1" showInputMessage="1" showErrorMessage="1" prompt="Выберите виды деятельности, выполнив двойной щелчок левой кнопки мыши по ячейке." sqref="G154"/>
    <dataValidation allowBlank="1" showInputMessage="1" showErrorMessage="1" prompt="Для выбора выполните двойной щелчок левой клавиши мыши по соответствующей ячейке." sqref="F1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3"/>
    <dataValidation allowBlank="1" showInputMessage="1" showErrorMessage="1" prompt="Выберите виды деятельности, выполнив двойной щелчок левой кнопки мыши по ячейке." sqref="G153"/>
    <dataValidation allowBlank="1" showInputMessage="1" showErrorMessage="1" prompt="Для выбора выполните двойной щелчок левой клавиши мыши по соответствующей ячейке." sqref="F153"/>
    <dataValidation allowBlank="1" showInputMessage="1" showErrorMessage="1" prompt="Для выбора выполните двойной щелчок левой клавиши мыши по соответствующей ячейке." sqref="S152"/>
    <dataValidation type="textLength" operator="lessThanOrEqual" allowBlank="1" showInputMessage="1" showErrorMessage="1" errorTitle="Ошибка" error="Допускается ввод не более 900 символов!" sqref="R1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2"/>
    <dataValidation type="textLength" operator="lessThanOrEqual" allowBlank="1" showInputMessage="1" showErrorMessage="1" errorTitle="Ошибка" error="Допускается ввод не более 900 символов!" sqref="J152">
      <formula1>900</formula1>
    </dataValidation>
    <dataValidation allowBlank="1" showInputMessage="1" showErrorMessage="1" prompt="Выберите виды деятельности, выполнив двойной щелчок левой кнопки мыши по ячейке." sqref="G152"/>
    <dataValidation allowBlank="1" showInputMessage="1" showErrorMessage="1" prompt="Для выбора выполните двойной щелчок левой клавиши мыши по соответствующей ячейке." sqref="F152"/>
    <dataValidation type="textLength" operator="lessThanOrEqual" allowBlank="1" showInputMessage="1" showErrorMessage="1" errorTitle="Ошибка" error="Допускается ввод не более 900 символов!" sqref="W151">
      <formula1>900</formula1>
    </dataValidation>
    <dataValidation type="textLength" operator="lessThanOrEqual" allowBlank="1" showInputMessage="1" showErrorMessage="1" errorTitle="Ошибка" error="Допускается ввод не более 900 символов!" sqref="V151">
      <formula1>900</formula1>
    </dataValidation>
    <dataValidation allowBlank="1" showInputMessage="1" showErrorMessage="1" prompt="Для выбора выполните двойной щелчок левой клавиши мыши по соответствующей ячейке." sqref="S151"/>
    <dataValidation type="textLength" operator="lessThanOrEqual" allowBlank="1" showInputMessage="1" showErrorMessage="1" errorTitle="Ошибка" error="Допускается ввод не более 900 символов!" sqref="R151">
      <formula1>900</formula1>
    </dataValidation>
    <dataValidation allowBlank="1" showInputMessage="1" showErrorMessage="1" prompt="Для выбора выполните двойной щелчок левой клавиши мыши по соответствующей ячейке." sqref="O1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type="textLength" operator="lessThanOrEqual" allowBlank="1" showInputMessage="1" showErrorMessage="1" errorTitle="Ошибка" error="Допускается ввод не более 900 символов!" sqref="J151">
      <formula1>900</formula1>
    </dataValidation>
    <dataValidation allowBlank="1" showInputMessage="1" showErrorMessage="1" prompt="Выберите виды деятельности, выполнив двойной щелчок левой кнопки мыши по ячейке." sqref="G151"/>
    <dataValidation allowBlank="1" showInputMessage="1" showErrorMessage="1" prompt="Для выбора выполните двойной щелчок левой клавиши мыши по соответствующей ячейке." sqref="F1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allowBlank="1" showInputMessage="1" showErrorMessage="1" prompt="Выберите виды деятельности, выполнив двойной щелчок левой кнопки мыши по ячейке." sqref="G150"/>
    <dataValidation allowBlank="1" showInputMessage="1" showErrorMessage="1" prompt="Для выбора выполните двойной щелчок левой клавиши мыши по соответствующей ячейке." sqref="F150"/>
    <dataValidation allowBlank="1" showInputMessage="1" showErrorMessage="1" prompt="Для выбора выполните двойной щелчок левой клавиши мыши по соответствующей ячейке." sqref="S149"/>
    <dataValidation type="textLength" operator="lessThanOrEqual" allowBlank="1" showInputMessage="1" showErrorMessage="1" errorTitle="Ошибка" error="Допускается ввод не более 900 символов!" sqref="R1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type="textLength" operator="lessThanOrEqual" allowBlank="1" showInputMessage="1" showErrorMessage="1" errorTitle="Ошибка" error="Допускается ввод не более 900 символов!" sqref="J149">
      <formula1>900</formula1>
    </dataValidation>
    <dataValidation allowBlank="1" showInputMessage="1" showErrorMessage="1" prompt="Выберите виды деятельности, выполнив двойной щелчок левой кнопки мыши по ячейке." sqref="G149"/>
    <dataValidation allowBlank="1" showInputMessage="1" showErrorMessage="1" prompt="Для выбора выполните двойной щелчок левой клавиши мыши по соответствующей ячейке." sqref="F149"/>
    <dataValidation type="textLength" operator="lessThanOrEqual" allowBlank="1" showInputMessage="1" showErrorMessage="1" errorTitle="Ошибка" error="Допускается ввод не более 900 символов!" sqref="W148">
      <formula1>900</formula1>
    </dataValidation>
    <dataValidation type="textLength" operator="lessThanOrEqual" allowBlank="1" showInputMessage="1" showErrorMessage="1" errorTitle="Ошибка" error="Допускается ввод не более 900 символов!" sqref="V148">
      <formula1>900</formula1>
    </dataValidation>
    <dataValidation allowBlank="1" showInputMessage="1" showErrorMessage="1" prompt="Для выбора выполните двойной щелчок левой клавиши мыши по соответствующей ячейке." sqref="S148"/>
    <dataValidation type="textLength" operator="lessThanOrEqual" allowBlank="1" showInputMessage="1" showErrorMessage="1" errorTitle="Ошибка" error="Допускается ввод не более 900 символов!" sqref="R148">
      <formula1>900</formula1>
    </dataValidation>
    <dataValidation allowBlank="1" showInputMessage="1" showErrorMessage="1" prompt="Для выбора выполните двойной щелчок левой клавиши мыши по соответствующей ячейке." sqref="O1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dataValidation type="textLength" operator="lessThanOrEqual" allowBlank="1" showInputMessage="1" showErrorMessage="1" errorTitle="Ошибка" error="Допускается ввод не более 900 символов!" sqref="J148">
      <formula1>900</formula1>
    </dataValidation>
    <dataValidation allowBlank="1" showInputMessage="1" showErrorMessage="1" prompt="Выберите виды деятельности, выполнив двойной щелчок левой кнопки мыши по ячейке." sqref="G148"/>
    <dataValidation allowBlank="1" showInputMessage="1" showErrorMessage="1" prompt="Для выбора выполните двойной щелчок левой клавиши мыши по соответствующей ячейке." sqref="F1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7"/>
    <dataValidation allowBlank="1" showInputMessage="1" showErrorMessage="1" prompt="Выберите виды деятельности, выполнив двойной щелчок левой кнопки мыши по ячейке." sqref="G147"/>
    <dataValidation allowBlank="1" showInputMessage="1" showErrorMessage="1" prompt="Для выбора выполните двойной щелчок левой клавиши мыши по соответствующей ячейке." sqref="F147"/>
    <dataValidation allowBlank="1" showInputMessage="1" showErrorMessage="1" prompt="Для выбора выполните двойной щелчок левой клавиши мыши по соответствующей ячейке." sqref="S146"/>
    <dataValidation type="textLength" operator="lessThanOrEqual" allowBlank="1" showInputMessage="1" showErrorMessage="1" errorTitle="Ошибка" error="Допускается ввод не более 900 символов!" sqref="R1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 type="textLength" operator="lessThanOrEqual" allowBlank="1" showInputMessage="1" showErrorMessage="1" errorTitle="Ошибка" error="Допускается ввод не более 900 символов!" sqref="J146">
      <formula1>900</formula1>
    </dataValidation>
    <dataValidation allowBlank="1" showInputMessage="1" showErrorMessage="1" prompt="Выберите виды деятельности, выполнив двойной щелчок левой кнопки мыши по ячейке." sqref="G146"/>
    <dataValidation allowBlank="1" showInputMessage="1" showErrorMessage="1" prompt="Для выбора выполните двойной щелчок левой клавиши мыши по соответствующей ячейке." sqref="F146"/>
    <dataValidation type="textLength" operator="lessThanOrEqual" allowBlank="1" showInputMessage="1" showErrorMessage="1" errorTitle="Ошибка" error="Допускается ввод не более 900 символов!" sqref="W145">
      <formula1>900</formula1>
    </dataValidation>
    <dataValidation type="textLength" operator="lessThanOrEqual" allowBlank="1" showInputMessage="1" showErrorMessage="1" errorTitle="Ошибка" error="Допускается ввод не более 900 символов!" sqref="V145">
      <formula1>900</formula1>
    </dataValidation>
    <dataValidation allowBlank="1" showInputMessage="1" showErrorMessage="1" prompt="Для выбора выполните двойной щелчок левой клавиши мыши по соответствующей ячейке." sqref="S145"/>
    <dataValidation type="textLength" operator="lessThanOrEqual" allowBlank="1" showInputMessage="1" showErrorMessage="1" errorTitle="Ошибка" error="Допускается ввод не более 900 символов!" sqref="R145">
      <formula1>900</formula1>
    </dataValidation>
    <dataValidation allowBlank="1" showInputMessage="1" showErrorMessage="1" prompt="Для выбора выполните двойной щелчок левой клавиши мыши по соответствующей ячейке." sqref="O1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type="textLength" operator="lessThanOrEqual" allowBlank="1" showInputMessage="1" showErrorMessage="1" errorTitle="Ошибка" error="Допускается ввод не более 900 символов!" sqref="J145">
      <formula1>900</formula1>
    </dataValidation>
    <dataValidation allowBlank="1" showInputMessage="1" showErrorMessage="1" prompt="Выберите виды деятельности, выполнив двойной щелчок левой кнопки мыши по ячейке." sqref="G145"/>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allowBlank="1" showInputMessage="1" showErrorMessage="1" prompt="Выберите виды деятельности, выполнив двойной щелчок левой кнопки мыши по ячейке." sqref="G144"/>
    <dataValidation allowBlank="1" showInputMessage="1" showErrorMessage="1" prompt="Для выбора выполните двойной щелчок левой клавиши мыши по соответствующей ячейке." sqref="F144"/>
    <dataValidation allowBlank="1" showInputMessage="1" showErrorMessage="1" prompt="Для выбора выполните двойной щелчок левой клавиши мыши по соответствующей ячейке." sqref="S143"/>
    <dataValidation type="textLength" operator="lessThanOrEqual" allowBlank="1" showInputMessage="1" showErrorMessage="1" errorTitle="Ошибка" error="Допускается ввод не более 900 символов!" sqref="R1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type="textLength" operator="lessThanOrEqual" allowBlank="1" showInputMessage="1" showErrorMessage="1" errorTitle="Ошибка" error="Допускается ввод не более 900 символов!" sqref="J143">
      <formula1>900</formula1>
    </dataValidation>
    <dataValidation allowBlank="1" showInputMessage="1" showErrorMessage="1" prompt="Выберите виды деятельности, выполнив двойной щелчок левой кнопки мыши по ячейке." sqref="G143"/>
    <dataValidation allowBlank="1" showInputMessage="1" showErrorMessage="1" prompt="Для выбора выполните двойной щелчок левой клавиши мыши по соответствующей ячейке." sqref="F143"/>
    <dataValidation type="textLength" operator="lessThanOrEqual" allowBlank="1" showInputMessage="1" showErrorMessage="1" errorTitle="Ошибка" error="Допускается ввод не более 900 символов!" sqref="W142">
      <formula1>900</formula1>
    </dataValidation>
    <dataValidation type="textLength" operator="lessThanOrEqual" allowBlank="1" showInputMessage="1" showErrorMessage="1" errorTitle="Ошибка" error="Допускается ввод не более 900 символов!" sqref="V142">
      <formula1>900</formula1>
    </dataValidation>
    <dataValidation allowBlank="1" showInputMessage="1" showErrorMessage="1" prompt="Для выбора выполните двойной щелчок левой клавиши мыши по соответствующей ячейке." sqref="S142"/>
    <dataValidation type="textLength" operator="lessThanOrEqual" allowBlank="1" showInputMessage="1" showErrorMessage="1" errorTitle="Ошибка" error="Допускается ввод не более 900 символов!" sqref="R142">
      <formula1>900</formula1>
    </dataValidation>
    <dataValidation allowBlank="1" showInputMessage="1" showErrorMessage="1" prompt="Для выбора выполните двойной щелчок левой клавиши мыши по соответствующей ячейке." sqref="O1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type="textLength" operator="lessThanOrEqual" allowBlank="1" showInputMessage="1" showErrorMessage="1" errorTitle="Ошибка" error="Допускается ввод не более 900 символов!" sqref="J142">
      <formula1>900</formula1>
    </dataValidation>
    <dataValidation allowBlank="1" showInputMessage="1" showErrorMessage="1" prompt="Выберите виды деятельности, выполнив двойной щелчок левой кнопки мыши по ячейке." sqref="G142"/>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Выберите виды деятельности, выполнив двойной щелчок левой кнопки мыши по ячейке." sqref="G141"/>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Для выбора выполните двойной щелчок левой клавиши мыши по соответствующей ячейке." sqref="S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Для выбора выполните двойной щелчок левой клавиши мыши по соответствующей ячейке." sqref="F140"/>
    <dataValidation type="textLength" operator="lessThanOrEqual" allowBlank="1" showInputMessage="1" showErrorMessage="1" errorTitle="Ошибка" error="Допускается ввод не более 900 символов!" sqref="W139">
      <formula1>900</formula1>
    </dataValidation>
    <dataValidation type="textLength" operator="lessThanOrEqual" allowBlank="1" showInputMessage="1" showErrorMessage="1" errorTitle="Ошибка" error="Допускается ввод не более 900 символов!" sqref="V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O1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Выберите виды деятельности, выполнив двойной щелчок левой кнопки мыши по ячейке." sqref="G139"/>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Для выбора выполните двойной щелчок левой клавиши мыши по соответствующей ячейке." sqref="S137"/>
    <dataValidation type="textLength" operator="lessThanOrEqual" allowBlank="1" showInputMessage="1" showErrorMessage="1" errorTitle="Ошибка" error="Допускается ввод не более 900 символов!" sqref="R1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type="textLength" operator="lessThanOrEqual" allowBlank="1" showInputMessage="1" showErrorMessage="1" errorTitle="Ошибка" error="Допускается ввод не более 900 символов!" sqref="J137">
      <formula1>900</formula1>
    </dataValidation>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Для выбора выполните двойной щелчок левой клавиши мыши по соответствующей ячейке." sqref="F137"/>
    <dataValidation type="textLength" operator="lessThanOrEqual" allowBlank="1" showInputMessage="1" showErrorMessage="1" errorTitle="Ошибка" error="Допускается ввод не более 900 символов!" sqref="W136">
      <formula1>900</formula1>
    </dataValidation>
    <dataValidation type="textLength" operator="lessThanOrEqual" allowBlank="1" showInputMessage="1" showErrorMessage="1" errorTitle="Ошибка" error="Допускается ввод не более 900 символов!" sqref="V136">
      <formula1>900</formula1>
    </dataValidation>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Для выбора выполните двойной щелчок левой клавиши мыши по соответствующей ячейке." sqref="O1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Выберите виды деятельности, выполнив двойной щелчок левой кнопки мыши по ячейке." sqref="G136"/>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63"/>
    <dataValidation allowBlank="1" showInputMessage="1" showErrorMessage="1" prompt="Для выбора выполните двойной щелчок левой клавиши мыши по соответствующей ячейке." sqref="F1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allowBlank="1" showInputMessage="1" showErrorMessage="1" prompt="Выберите виды деятельности, выполнив двойной щелчок левой кнопки мыши по ячейке." sqref="G138"/>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Выберите виды деятельности, выполнив двойной щелчок левой кнопки мыши по ячейке." sqref="G135"/>
    <dataValidation allowBlank="1" showInputMessage="1" showErrorMessage="1" prompt="Для выбора выполните двойной щелчок левой клавиши мыши по соответствующей ячейке." sqref="F135"/>
    <dataValidation type="textLength" operator="lessThanOrEqual" allowBlank="1" showInputMessage="1" showErrorMessage="1" errorTitle="Ошибка" error="Допускается ввод не более 900 символов!" sqref="W134">
      <formula1>900</formula1>
    </dataValidation>
    <dataValidation type="textLength" operator="lessThanOrEqual" allowBlank="1" showInputMessage="1" showErrorMessage="1" errorTitle="Ошибка" error="Допускается ввод не более 900 символов!" sqref="V134">
      <formula1>900</formula1>
    </dataValidation>
    <dataValidation allowBlank="1" showInputMessage="1" showErrorMessage="1" prompt="Для выбора выполните двойной щелчок левой клавиши мыши по соответствующей ячейке." sqref="S134"/>
    <dataValidation type="textLength" operator="lessThanOrEqual" allowBlank="1" showInputMessage="1" showErrorMessage="1" errorTitle="Ошибка" error="Допускается ввод не более 900 символов!" sqref="R134">
      <formula1>900</formula1>
    </dataValidation>
    <dataValidation allowBlank="1" showInputMessage="1" showErrorMessage="1" prompt="Для выбора выполните двойной щелчок левой клавиши мыши по соответствующей ячейке." sqref="O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Для выбора выполните двойной щелчок левой клавиши мыши по соответствующей ячейке." sqref="K134"/>
    <dataValidation type="textLength" operator="lessThanOrEqual" allowBlank="1" showInputMessage="1" showErrorMessage="1" errorTitle="Ошибка" error="Допускается ввод не более 900 символов!" sqref="J134">
      <formula1>900</formula1>
    </dataValidation>
    <dataValidation allowBlank="1" showInputMessage="1" showErrorMessage="1" prompt="Выберите виды деятельности, выполнив двойной щелчок левой кнопки мыши по ячейке." sqref="G134"/>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Выберите виды деятельности, выполнив двойной щелчок левой кнопки мыши по ячейке." sqref="G132"/>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Для выбора выполните двойной щелчок левой клавиши мыши по соответствующей ячейке." sqref="F131"/>
    <dataValidation type="textLength" operator="lessThanOrEqual" allowBlank="1" showInputMessage="1" showErrorMessage="1" errorTitle="Ошибка" error="Допускается ввод не более 900 символов!" sqref="W130">
      <formula1>900</formula1>
    </dataValidation>
    <dataValidation type="textLength" operator="lessThanOrEqual" allowBlank="1" showInputMessage="1" showErrorMessage="1" errorTitle="Ошибка" error="Допускается ввод не более 900 символов!" sqref="V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O1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Для выбора выполните двойной щелчок левой клавиши мыши по соответствующей ячейке." sqref="S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type="textLength" operator="lessThanOrEqual" allowBlank="1" showInputMessage="1" showErrorMessage="1" errorTitle="Ошибка" error="Допускается ввод не более 900 символов!" sqref="W127">
      <formula1>900</formula1>
    </dataValidation>
    <dataValidation type="textLength" operator="lessThanOrEqual" allowBlank="1" showInputMessage="1" showErrorMessage="1" errorTitle="Ошибка" error="Допускается ввод не более 900 символов!" sqref="V127">
      <formula1>900</formula1>
    </dataValidation>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Для выбора выполните двойной щелчок левой клавиши мыши по соответствующей ячейке." sqref="O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type="textLength" operator="lessThanOrEqual" allowBlank="1" showInputMessage="1" showErrorMessage="1" errorTitle="Ошибка" error="Допускается ввод не более 900 символов!" sqref="W125">
      <formula1>900</formula1>
    </dataValidation>
    <dataValidation type="textLength" operator="lessThanOrEqual" allowBlank="1" showInputMessage="1" showErrorMessage="1" errorTitle="Ошибка" error="Допускается ввод не более 900 символов!" sqref="V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O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Для выбора выполните двойной щелчок левой клавиши мыши по соответствующей ячейке." sqref="F124"/>
    <dataValidation type="textLength" operator="lessThanOrEqual" allowBlank="1" showInputMessage="1" showErrorMessage="1" errorTitle="Ошибка" error="Допускается ввод не более 900 символов!" sqref="W123">
      <formula1>900</formula1>
    </dataValidation>
    <dataValidation type="textLength" operator="lessThanOrEqual" allowBlank="1" showInputMessage="1" showErrorMessage="1" errorTitle="Ошибка" error="Допускается ввод не более 900 символов!" sqref="V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O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Выберите виды деятельности, выполнив двойной щелчок левой кнопки мыши по ячейке." sqref="G123"/>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Выберите виды деятельности, выполнив двойной щелчок левой кнопки мыши по ячейке." sqref="G121"/>
    <dataValidation allowBlank="1" showInputMessage="1" showErrorMessage="1" prompt="Для выбора выполните двойной щелчок левой клавиши мыши по соответствующей ячейке." sqref="F121"/>
    <dataValidation type="textLength" operator="lessThanOrEqual" allowBlank="1" showInputMessage="1" showErrorMessage="1" errorTitle="Ошибка" error="Допускается ввод не более 900 символов!" sqref="W120">
      <formula1>900</formula1>
    </dataValidation>
    <dataValidation type="textLength" operator="lessThanOrEqual" allowBlank="1" showInputMessage="1" showErrorMessage="1" errorTitle="Ошибка" error="Допускается ввод не более 900 символов!" sqref="V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O1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Выберите виды деятельности, выполнив двойной щелчок левой кнопки мыши по ячейке." sqref="G120"/>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Для выбора выполните двойной щелчок левой клавиши мыши по соответствующей ячейке." sqref="S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Для выбора выполните двойной щелчок левой клавиши мыши по соответствующей ячейке." sqref="F118"/>
    <dataValidation type="textLength" operator="lessThanOrEqual" allowBlank="1" showInputMessage="1" showErrorMessage="1" errorTitle="Ошибка" error="Допускается ввод не более 900 символов!" sqref="W117">
      <formula1>900</formula1>
    </dataValidation>
    <dataValidation type="textLength" operator="lessThanOrEqual" allowBlank="1" showInputMessage="1" showErrorMessage="1" errorTitle="Ошибка" error="Допускается ввод не более 900 символов!" sqref="V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O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Выберите виды деятельности, выполнив двойной щелчок левой кнопки мыши по ячейке." sqref="G117"/>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Для выбора выполните двойной щелчок левой клавиши мыши по соответствующей ячейке." sqref="F115"/>
    <dataValidation type="textLength" operator="lessThanOrEqual" allowBlank="1" showInputMessage="1" showErrorMessage="1" errorTitle="Ошибка" error="Допускается ввод не более 900 символов!" sqref="W114">
      <formula1>900</formula1>
    </dataValidation>
    <dataValidation type="textLength" operator="lessThanOrEqual" allowBlank="1" showInputMessage="1" showErrorMessage="1" errorTitle="Ошибка" error="Допускается ввод не более 900 символов!" sqref="V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O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type="textLength" operator="lessThanOrEqual" allowBlank="1" showInputMessage="1" showErrorMessage="1" errorTitle="Ошибка" error="Допускается ввод не более 900 символов!" sqref="W111">
      <formula1>900</formula1>
    </dataValidation>
    <dataValidation type="textLength" operator="lessThanOrEqual" allowBlank="1" showInputMessage="1" showErrorMessage="1" errorTitle="Ошибка" error="Допускается ввод не более 900 символов!" sqref="V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O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type="textLength" operator="lessThanOrEqual" allowBlank="1" showInputMessage="1" showErrorMessage="1" errorTitle="Ошибка" error="Допускается ввод не более 900 символов!" sqref="W108">
      <formula1>900</formula1>
    </dataValidation>
    <dataValidation type="textLength" operator="lessThanOrEqual" allowBlank="1" showInputMessage="1" showErrorMessage="1" errorTitle="Ошибка" error="Допускается ввод не более 900 символов!" sqref="V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O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type="textLength" operator="lessThanOrEqual" allowBlank="1" showInputMessage="1" showErrorMessage="1" errorTitle="Ошибка" error="Допускается ввод не более 900 символов!" sqref="W102">
      <formula1>900</formula1>
    </dataValidation>
    <dataValidation type="textLength" operator="lessThanOrEqual" allowBlank="1" showInputMessage="1" showErrorMessage="1" errorTitle="Ошибка" error="Допускается ввод не более 900 символов!" sqref="V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O1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J101">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V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O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K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Выберите виды деятельности, выполнив двойной щелчок левой кнопки мыши по ячейке." sqref="G100:G101 G104 G133 G194:G204 G13:G62 G74:G98 G206:G2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95:N197 N211:N213 N206:N208 N53:N55 N58:N60 N94:N96 N200:N202 N216:N2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95:J196 R195:R196 V195:W195 J211:J212 R211:R212 V211:W211 J206:J207 R206:R207 V206:W206 J53:J54 R53:R54 V53:W53 J58:J59 R58:R59 V58:W58 J94:J95 R94:R95 V94:W94 J200:J201 R200:R201 V200:W200 J216:J217 R216:R217 V216:W2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95:O196 S195:S196 K195:K196 S94:S95 K211:K212 O211:O212 K206:K207 O206:O207 S211:S212 O200:O201 S206:S207 O53:O54 S53:S54 K53:K54 K58:K59 O58:O59 S58:S59 F74:F98 K94:K95 O94:O95 F100:F101 F104 F133 F194:F204 S200:S201 K200:K201 F206:F220 S216:S217 K216:K217 O216:O217"/>
    <dataValidation allowBlank="1" showInputMessage="1" showErrorMessage="1" prompt="Для выбора выполните двойной щелчок левой клавиши мыши по соответствующей ячейке." sqref="F164"/>
    <dataValidation allowBlank="1" showInputMessage="1" showErrorMessage="1" prompt="Выберите виды деятельности, выполнив двойной щелчок левой кнопки мыши по ячейке." sqref="G164"/>
    <dataValidation type="textLength" operator="lessThanOrEqual" allowBlank="1" showInputMessage="1" showErrorMessage="1" errorTitle="Ошибка" error="Допускается ввод не более 900 символов!" sqref="J164">
      <formula1>900</formula1>
    </dataValidation>
    <dataValidation allowBlank="1" showInputMessage="1" showErrorMessage="1" prompt="Для выбора выполните двойной щелчок левой клавиши мыши по соответствующей ячейке." sqref="K1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4"/>
    <dataValidation allowBlank="1" showInputMessage="1" showErrorMessage="1" prompt="Для выбора выполните двойной щелчок левой клавиши мыши по соответствующей ячейке." sqref="O164"/>
    <dataValidation type="textLength" operator="lessThanOrEqual" allowBlank="1" showInputMessage="1" showErrorMessage="1" errorTitle="Ошибка" error="Допускается ввод не более 900 символов!" sqref="R164">
      <formula1>900</formula1>
    </dataValidation>
    <dataValidation allowBlank="1" showInputMessage="1" showErrorMessage="1" prompt="Для выбора выполните двойной щелчок левой клавиши мыши по соответствующей ячейке." sqref="S164"/>
    <dataValidation type="textLength" operator="lessThanOrEqual" allowBlank="1" showInputMessage="1" showErrorMessage="1" errorTitle="Ошибка" error="Допускается ввод не более 900 символов!" sqref="V164">
      <formula1>900</formula1>
    </dataValidation>
    <dataValidation type="textLength" operator="lessThanOrEqual" allowBlank="1" showInputMessage="1" showErrorMessage="1" errorTitle="Ошибка" error="Допускается ввод не более 900 символов!" sqref="W164">
      <formula1>900</formula1>
    </dataValidation>
    <dataValidation allowBlank="1" showInputMessage="1" showErrorMessage="1" prompt="Для выбора выполните двойной щелчок левой клавиши мыши по соответствующей ячейке." sqref="F165"/>
    <dataValidation allowBlank="1" showInputMessage="1" showErrorMessage="1" prompt="Выберите виды деятельности, выполнив двойной щелчок левой кнопки мыши по ячейке." sqref="G165"/>
    <dataValidation type="textLength" operator="lessThanOrEqual" allowBlank="1" showInputMessage="1" showErrorMessage="1" errorTitle="Ошибка" error="Допускается ввод не более 900 символов!" sqref="J1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5"/>
    <dataValidation type="textLength" operator="lessThanOrEqual" allowBlank="1" showInputMessage="1" showErrorMessage="1" errorTitle="Ошибка" error="Допускается ввод не более 900 символов!" sqref="R165">
      <formula1>900</formula1>
    </dataValidation>
    <dataValidation allowBlank="1" showInputMessage="1" showErrorMessage="1" prompt="Для выбора выполните двойной щелчок левой клавиши мыши по соответствующей ячейке." sqref="S165"/>
    <dataValidation allowBlank="1" showInputMessage="1" showErrorMessage="1" prompt="Для выбора выполните двойной щелчок левой клавиши мыши по соответствующей ячейке." sqref="F168"/>
    <dataValidation allowBlank="1" showInputMessage="1" showErrorMessage="1" prompt="Выберите виды деятельности, выполнив двойной щелчок левой кнопки мыши по ячейке." sqref="G1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8"/>
    <dataValidation allowBlank="1" showInputMessage="1" showErrorMessage="1" prompt="Для выбора выполните двойной щелчок левой клавиши мыши по соответствующей ячейке." sqref="F193"/>
    <dataValidation allowBlank="1" showInputMessage="1" showErrorMessage="1" prompt="Выберите виды деятельности, выполнив двойной щелчок левой кнопки мыши по ячейке." sqref="G193"/>
    <dataValidation allowBlank="1" showInputMessage="1" showErrorMessage="1" prompt="Для выбора выполните двойной щелчок левой клавиши мыши по соответствующей ячейке." sqref="F166"/>
    <dataValidation allowBlank="1" showInputMessage="1" showErrorMessage="1" prompt="Выберите виды деятельности, выполнив двойной щелчок левой кнопки мыши по ячейке." sqref="G166"/>
    <dataValidation type="textLength" operator="lessThanOrEqual" allowBlank="1" showInputMessage="1" showErrorMessage="1" errorTitle="Ошибка" error="Допускается ввод не более 900 символов!" sqref="J1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6"/>
    <dataValidation allowBlank="1" showInputMessage="1" showErrorMessage="1" prompt="Для выбора выполните двойной щелчок левой клавиши мыши по соответствующей ячейке." sqref="O166"/>
    <dataValidation type="textLength" operator="lessThanOrEqual" allowBlank="1" showInputMessage="1" showErrorMessage="1" errorTitle="Ошибка" error="Допускается ввод не более 900 символов!" sqref="R166">
      <formula1>900</formula1>
    </dataValidation>
    <dataValidation allowBlank="1" showInputMessage="1" showErrorMessage="1" prompt="Для выбора выполните двойной щелчок левой клавиши мыши по соответствующей ячейке." sqref="S166"/>
    <dataValidation type="textLength" operator="lessThanOrEqual" allowBlank="1" showInputMessage="1" showErrorMessage="1" errorTitle="Ошибка" error="Допускается ввод не более 900 символов!" sqref="V166">
      <formula1>900</formula1>
    </dataValidation>
    <dataValidation type="textLength" operator="lessThanOrEqual" allowBlank="1" showInputMessage="1" showErrorMessage="1" errorTitle="Ошибка" error="Допускается ввод не более 900 символов!" sqref="W166">
      <formula1>900</formula1>
    </dataValidation>
    <dataValidation allowBlank="1" showInputMessage="1" showErrorMessage="1" prompt="Для выбора выполните двойной щелчок левой клавиши мыши по соответствующей ячейке." sqref="F167"/>
    <dataValidation allowBlank="1" showInputMessage="1" showErrorMessage="1" prompt="Выберите виды деятельности, выполнив двойной щелчок левой кнопки мыши по ячейке." sqref="G167"/>
    <dataValidation type="textLength" operator="lessThanOrEqual" allowBlank="1" showInputMessage="1" showErrorMessage="1" errorTitle="Ошибка" error="Допускается ввод не более 900 символов!" sqref="J1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7"/>
    <dataValidation type="textLength" operator="lessThanOrEqual" allowBlank="1" showInputMessage="1" showErrorMessage="1" errorTitle="Ошибка" error="Допускается ввод не более 900 символов!" sqref="R167">
      <formula1>900</formula1>
    </dataValidation>
    <dataValidation allowBlank="1" showInputMessage="1" showErrorMessage="1" prompt="Для выбора выполните двойной щелчок левой клавиши мыши по соответствующей ячейке." sqref="S167"/>
    <dataValidation allowBlank="1" showInputMessage="1" showErrorMessage="1" prompt="Для выбора выполните двойной щелчок левой клавиши мыши по соответствующей ячейке." sqref="F169"/>
    <dataValidation allowBlank="1" showInputMessage="1" showErrorMessage="1" prompt="Выберите виды деятельности, выполнив двойной щелчок левой кнопки мыши по ячейке." sqref="G169"/>
    <dataValidation type="textLength" operator="lessThanOrEqual" allowBlank="1" showInputMessage="1" showErrorMessage="1" errorTitle="Ошибка" error="Допускается ввод не более 900 символов!" sqref="J1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9"/>
    <dataValidation allowBlank="1" showInputMessage="1" showErrorMessage="1" prompt="Для выбора выполните двойной щелчок левой клавиши мыши по соответствующей ячейке." sqref="O169"/>
    <dataValidation type="textLength" operator="lessThanOrEqual" allowBlank="1" showInputMessage="1" showErrorMessage="1" errorTitle="Ошибка" error="Допускается ввод не более 900 символов!" sqref="R169">
      <formula1>900</formula1>
    </dataValidation>
    <dataValidation allowBlank="1" showInputMessage="1" showErrorMessage="1" prompt="Для выбора выполните двойной щелчок левой клавиши мыши по соответствующей ячейке." sqref="S169"/>
    <dataValidation type="textLength" operator="lessThanOrEqual" allowBlank="1" showInputMessage="1" showErrorMessage="1" errorTitle="Ошибка" error="Допускается ввод не более 900 символов!" sqref="V169">
      <formula1>900</formula1>
    </dataValidation>
    <dataValidation type="textLength" operator="lessThanOrEqual" allowBlank="1" showInputMessage="1" showErrorMessage="1" errorTitle="Ошибка" error="Допускается ввод не более 900 символов!" sqref="W169">
      <formula1>900</formula1>
    </dataValidation>
    <dataValidation allowBlank="1" showInputMessage="1" showErrorMessage="1" prompt="Для выбора выполните двойной щелчок левой клавиши мыши по соответствующей ячейке." sqref="F170"/>
    <dataValidation allowBlank="1" showInputMessage="1" showErrorMessage="1" prompt="Выберите виды деятельности, выполнив двойной щелчок левой кнопки мыши по ячейке." sqref="G170"/>
    <dataValidation type="textLength" operator="lessThanOrEqual" allowBlank="1" showInputMessage="1" showErrorMessage="1" errorTitle="Ошибка" error="Допускается ввод не более 900 символов!" sqref="J1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0"/>
    <dataValidation type="textLength" operator="lessThanOrEqual" allowBlank="1" showInputMessage="1" showErrorMessage="1" errorTitle="Ошибка" error="Допускается ввод не более 900 символов!" sqref="R170">
      <formula1>900</formula1>
    </dataValidation>
    <dataValidation allowBlank="1" showInputMessage="1" showErrorMessage="1" prompt="Для выбора выполните двойной щелчок левой клавиши мыши по соответствующей ячейке." sqref="S170"/>
    <dataValidation allowBlank="1" showInputMessage="1" showErrorMessage="1" prompt="Для выбора выполните двойной щелчок левой клавиши мыши по соответствующей ячейке." sqref="F171"/>
    <dataValidation allowBlank="1" showInputMessage="1" showErrorMessage="1" prompt="Выберите виды деятельности, выполнив двойной щелчок левой кнопки мыши по ячейке." sqref="G1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1"/>
    <dataValidation allowBlank="1" showInputMessage="1" showErrorMessage="1" prompt="Для выбора выполните двойной щелчок левой клавиши мыши по соответствующей ячейке." sqref="F172"/>
    <dataValidation allowBlank="1" showInputMessage="1" showErrorMessage="1" prompt="Выберите виды деятельности, выполнив двойной щелчок левой кнопки мыши по ячейке." sqref="G172"/>
    <dataValidation type="textLength" operator="lessThanOrEqual" allowBlank="1" showInputMessage="1" showErrorMessage="1" errorTitle="Ошибка" error="Допускается ввод не более 900 символов!" sqref="J17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2"/>
    <dataValidation allowBlank="1" showInputMessage="1" showErrorMessage="1" prompt="Для выбора выполните двойной щелчок левой клавиши мыши по соответствующей ячейке." sqref="O172"/>
    <dataValidation type="textLength" operator="lessThanOrEqual" allowBlank="1" showInputMessage="1" showErrorMessage="1" errorTitle="Ошибка" error="Допускается ввод не более 900 символов!" sqref="R172">
      <formula1>900</formula1>
    </dataValidation>
    <dataValidation allowBlank="1" showInputMessage="1" showErrorMessage="1" prompt="Для выбора выполните двойной щелчок левой клавиши мыши по соответствующей ячейке." sqref="S172"/>
    <dataValidation type="textLength" operator="lessThanOrEqual" allowBlank="1" showInputMessage="1" showErrorMessage="1" errorTitle="Ошибка" error="Допускается ввод не более 900 символов!" sqref="V172">
      <formula1>900</formula1>
    </dataValidation>
    <dataValidation type="textLength" operator="lessThanOrEqual" allowBlank="1" showInputMessage="1" showErrorMessage="1" errorTitle="Ошибка" error="Допускается ввод не более 900 символов!" sqref="W172">
      <formula1>900</formula1>
    </dataValidation>
    <dataValidation allowBlank="1" showInputMessage="1" showErrorMessage="1" prompt="Для выбора выполните двойной щелчок левой клавиши мыши по соответствующей ячейке." sqref="F173"/>
    <dataValidation allowBlank="1" showInputMessage="1" showErrorMessage="1" prompt="Выберите виды деятельности, выполнив двойной щелчок левой кнопки мыши по ячейке." sqref="G173"/>
    <dataValidation type="textLength" operator="lessThanOrEqual" allowBlank="1" showInputMessage="1" showErrorMessage="1" errorTitle="Ошибка" error="Допускается ввод не более 900 символов!" sqref="J17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3"/>
    <dataValidation type="textLength" operator="lessThanOrEqual" allowBlank="1" showInputMessage="1" showErrorMessage="1" errorTitle="Ошибка" error="Допускается ввод не более 900 символов!" sqref="R173">
      <formula1>900</formula1>
    </dataValidation>
    <dataValidation allowBlank="1" showInputMessage="1" showErrorMessage="1" prompt="Для выбора выполните двойной щелчок левой клавиши мыши по соответствующей ячейке." sqref="S173"/>
    <dataValidation allowBlank="1" showInputMessage="1" showErrorMessage="1" prompt="Для выбора выполните двойной щелчок левой клавиши мыши по соответствующей ячейке." sqref="F174"/>
    <dataValidation allowBlank="1" showInputMessage="1" showErrorMessage="1" prompt="Выберите виды деятельности, выполнив двойной щелчок левой кнопки мыши по ячейке." sqref="G1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4"/>
    <dataValidation allowBlank="1" showInputMessage="1" showErrorMessage="1" prompt="Для выбора выполните двойной щелчок левой клавиши мыши по соответствующей ячейке." sqref="F175"/>
    <dataValidation allowBlank="1" showInputMessage="1" showErrorMessage="1" prompt="Выберите виды деятельности, выполнив двойной щелчок левой кнопки мыши по ячейке." sqref="G175"/>
    <dataValidation type="textLength" operator="lessThanOrEqual" allowBlank="1" showInputMessage="1" showErrorMessage="1" errorTitle="Ошибка" error="Допускается ввод не более 900 символов!" sqref="J17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5"/>
    <dataValidation allowBlank="1" showInputMessage="1" showErrorMessage="1" prompt="Для выбора выполните двойной щелчок левой клавиши мыши по соответствующей ячейке." sqref="O175"/>
    <dataValidation type="textLength" operator="lessThanOrEqual" allowBlank="1" showInputMessage="1" showErrorMessage="1" errorTitle="Ошибка" error="Допускается ввод не более 900 символов!" sqref="R175">
      <formula1>900</formula1>
    </dataValidation>
    <dataValidation allowBlank="1" showInputMessage="1" showErrorMessage="1" prompt="Для выбора выполните двойной щелчок левой клавиши мыши по соответствующей ячейке." sqref="S175"/>
    <dataValidation type="textLength" operator="lessThanOrEqual" allowBlank="1" showInputMessage="1" showErrorMessage="1" errorTitle="Ошибка" error="Допускается ввод не более 900 символов!" sqref="V175">
      <formula1>900</formula1>
    </dataValidation>
    <dataValidation type="textLength" operator="lessThanOrEqual" allowBlank="1" showInputMessage="1" showErrorMessage="1" errorTitle="Ошибка" error="Допускается ввод не более 900 символов!" sqref="W175">
      <formula1>900</formula1>
    </dataValidation>
    <dataValidation allowBlank="1" showInputMessage="1" showErrorMessage="1" prompt="Для выбора выполните двойной щелчок левой клавиши мыши по соответствующей ячейке." sqref="F176"/>
    <dataValidation allowBlank="1" showInputMessage="1" showErrorMessage="1" prompt="Выберите виды деятельности, выполнив двойной щелчок левой кнопки мыши по ячейке." sqref="G176"/>
    <dataValidation type="textLength" operator="lessThanOrEqual" allowBlank="1" showInputMessage="1" showErrorMessage="1" errorTitle="Ошибка" error="Допускается ввод не более 900 символов!" sqref="J17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6"/>
    <dataValidation type="textLength" operator="lessThanOrEqual" allowBlank="1" showInputMessage="1" showErrorMessage="1" errorTitle="Ошибка" error="Допускается ввод не более 900 символов!" sqref="R176">
      <formula1>900</formula1>
    </dataValidation>
    <dataValidation allowBlank="1" showInputMessage="1" showErrorMessage="1" prompt="Для выбора выполните двойной щелчок левой клавиши мыши по соответствующей ячейке." sqref="S176"/>
    <dataValidation allowBlank="1" showInputMessage="1" showErrorMessage="1" prompt="Для выбора выполните двойной щелчок левой клавиши мыши по соответствующей ячейке." sqref="F177"/>
    <dataValidation allowBlank="1" showInputMessage="1" showErrorMessage="1" prompt="Выберите виды деятельности, выполнив двойной щелчок левой кнопки мыши по ячейке." sqref="G1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7"/>
    <dataValidation allowBlank="1" showInputMessage="1" showErrorMessage="1" prompt="Для выбора выполните двойной щелчок левой клавиши мыши по соответствующей ячейке." sqref="F178"/>
    <dataValidation allowBlank="1" showInputMessage="1" showErrorMessage="1" prompt="Выберите виды деятельности, выполнив двойной щелчок левой кнопки мыши по ячейке." sqref="G178"/>
    <dataValidation type="textLength" operator="lessThanOrEqual" allowBlank="1" showInputMessage="1" showErrorMessage="1" errorTitle="Ошибка" error="Допускается ввод не более 900 символов!" sqref="J1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8"/>
    <dataValidation allowBlank="1" showInputMessage="1" showErrorMessage="1" prompt="Для выбора выполните двойной щелчок левой клавиши мыши по соответствующей ячейке." sqref="O178"/>
    <dataValidation type="textLength" operator="lessThanOrEqual" allowBlank="1" showInputMessage="1" showErrorMessage="1" errorTitle="Ошибка" error="Допускается ввод не более 900 символов!" sqref="R178">
      <formula1>900</formula1>
    </dataValidation>
    <dataValidation allowBlank="1" showInputMessage="1" showErrorMessage="1" prompt="Для выбора выполните двойной щелчок левой клавиши мыши по соответствующей ячейке." sqref="S178"/>
    <dataValidation type="textLength" operator="lessThanOrEqual" allowBlank="1" showInputMessage="1" showErrorMessage="1" errorTitle="Ошибка" error="Допускается ввод не более 900 символов!" sqref="V178">
      <formula1>900</formula1>
    </dataValidation>
    <dataValidation type="textLength" operator="lessThanOrEqual" allowBlank="1" showInputMessage="1" showErrorMessage="1" errorTitle="Ошибка" error="Допускается ввод не более 900 символов!" sqref="W178">
      <formula1>900</formula1>
    </dataValidation>
    <dataValidation allowBlank="1" showInputMessage="1" showErrorMessage="1" prompt="Для выбора выполните двойной щелчок левой клавиши мыши по соответствующей ячейке." sqref="F179"/>
    <dataValidation allowBlank="1" showInputMessage="1" showErrorMessage="1" prompt="Выберите виды деятельности, выполнив двойной щелчок левой кнопки мыши по ячейке." sqref="G179"/>
    <dataValidation type="textLength" operator="lessThanOrEqual" allowBlank="1" showInputMessage="1" showErrorMessage="1" errorTitle="Ошибка" error="Допускается ввод не более 900 символов!" sqref="J17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9"/>
    <dataValidation type="textLength" operator="lessThanOrEqual" allowBlank="1" showInputMessage="1" showErrorMessage="1" errorTitle="Ошибка" error="Допускается ввод не более 900 символов!" sqref="R179">
      <formula1>900</formula1>
    </dataValidation>
    <dataValidation allowBlank="1" showInputMessage="1" showErrorMessage="1" prompt="Для выбора выполните двойной щелчок левой клавиши мыши по соответствующей ячейке." sqref="S179"/>
    <dataValidation allowBlank="1" showInputMessage="1" showErrorMessage="1" prompt="Для выбора выполните двойной щелчок левой клавиши мыши по соответствующей ячейке." sqref="F180"/>
    <dataValidation allowBlank="1" showInputMessage="1" showErrorMessage="1" prompt="Выберите виды деятельности, выполнив двойной щелчок левой кнопки мыши по ячейке." sqref="G1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0"/>
    <dataValidation allowBlank="1" showInputMessage="1" showErrorMessage="1" prompt="Для выбора выполните двойной щелчок левой клавиши мыши по соответствующей ячейке." sqref="F181"/>
    <dataValidation allowBlank="1" showInputMessage="1" showErrorMessage="1" prompt="Выберите виды деятельности, выполнив двойной щелчок левой кнопки мыши по ячейке." sqref="G181"/>
    <dataValidation type="textLength" operator="lessThanOrEqual" allowBlank="1" showInputMessage="1" showErrorMessage="1" errorTitle="Ошибка" error="Допускается ввод не более 900 символов!" sqref="J18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1"/>
    <dataValidation allowBlank="1" showInputMessage="1" showErrorMessage="1" prompt="Для выбора выполните двойной щелчок левой клавиши мыши по соответствующей ячейке." sqref="O181"/>
    <dataValidation type="textLength" operator="lessThanOrEqual" allowBlank="1" showInputMessage="1" showErrorMessage="1" errorTitle="Ошибка" error="Допускается ввод не более 900 символов!" sqref="R181">
      <formula1>900</formula1>
    </dataValidation>
    <dataValidation allowBlank="1" showInputMessage="1" showErrorMessage="1" prompt="Для выбора выполните двойной щелчок левой клавиши мыши по соответствующей ячейке." sqref="S181"/>
    <dataValidation type="textLength" operator="lessThanOrEqual" allowBlank="1" showInputMessage="1" showErrorMessage="1" errorTitle="Ошибка" error="Допускается ввод не более 900 символов!" sqref="V181">
      <formula1>900</formula1>
    </dataValidation>
    <dataValidation type="textLength" operator="lessThanOrEqual" allowBlank="1" showInputMessage="1" showErrorMessage="1" errorTitle="Ошибка" error="Допускается ввод не более 900 символов!" sqref="W181">
      <formula1>900</formula1>
    </dataValidation>
    <dataValidation allowBlank="1" showInputMessage="1" showErrorMessage="1" prompt="Для выбора выполните двойной щелчок левой клавиши мыши по соответствующей ячейке." sqref="F182"/>
    <dataValidation allowBlank="1" showInputMessage="1" showErrorMessage="1" prompt="Выберите виды деятельности, выполнив двойной щелчок левой кнопки мыши по ячейке." sqref="G182"/>
    <dataValidation type="textLength" operator="lessThanOrEqual" allowBlank="1" showInputMessage="1" showErrorMessage="1" errorTitle="Ошибка" error="Допускается ввод не более 900 символов!" sqref="J1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
    <dataValidation type="textLength" operator="lessThanOrEqual" allowBlank="1" showInputMessage="1" showErrorMessage="1" errorTitle="Ошибка" error="Допускается ввод не более 900 символов!" sqref="R182">
      <formula1>900</formula1>
    </dataValidation>
    <dataValidation allowBlank="1" showInputMessage="1" showErrorMessage="1" prompt="Для выбора выполните двойной щелчок левой клавиши мыши по соответствующей ячейке." sqref="S182"/>
    <dataValidation allowBlank="1" showInputMessage="1" showErrorMessage="1" prompt="Для выбора выполните двойной щелчок левой клавиши мыши по соответствующей ячейке." sqref="F183"/>
    <dataValidation allowBlank="1" showInputMessage="1" showErrorMessage="1" prompt="Выберите виды деятельности, выполнив двойной щелчок левой кнопки мыши по ячейке." sqref="G1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3"/>
    <dataValidation allowBlank="1" showInputMessage="1" showErrorMessage="1" prompt="Для выбора выполните двойной щелчок левой клавиши мыши по соответствующей ячейке." sqref="F184"/>
    <dataValidation allowBlank="1" showInputMessage="1" showErrorMessage="1" prompt="Выберите виды деятельности, выполнив двойной щелчок левой кнопки мыши по ячейке." sqref="G184"/>
    <dataValidation type="textLength" operator="lessThanOrEqual" allowBlank="1" showInputMessage="1" showErrorMessage="1" errorTitle="Ошибка" error="Допускается ввод не более 900 символов!" sqref="J1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4"/>
    <dataValidation allowBlank="1" showInputMessage="1" showErrorMessage="1" prompt="Для выбора выполните двойной щелчок левой клавиши мыши по соответствующей ячейке." sqref="O184"/>
    <dataValidation type="textLength" operator="lessThanOrEqual" allowBlank="1" showInputMessage="1" showErrorMessage="1" errorTitle="Ошибка" error="Допускается ввод не более 900 символов!" sqref="R184">
      <formula1>900</formula1>
    </dataValidation>
    <dataValidation allowBlank="1" showInputMessage="1" showErrorMessage="1" prompt="Для выбора выполните двойной щелчок левой клавиши мыши по соответствующей ячейке." sqref="S184"/>
    <dataValidation type="textLength" operator="lessThanOrEqual" allowBlank="1" showInputMessage="1" showErrorMessage="1" errorTitle="Ошибка" error="Допускается ввод не более 900 символов!" sqref="V184">
      <formula1>900</formula1>
    </dataValidation>
    <dataValidation type="textLength" operator="lessThanOrEqual" allowBlank="1" showInputMessage="1" showErrorMessage="1" errorTitle="Ошибка" error="Допускается ввод не более 900 символов!" sqref="W184">
      <formula1>900</formula1>
    </dataValidation>
    <dataValidation allowBlank="1" showInputMessage="1" showErrorMessage="1" prompt="Для выбора выполните двойной щелчок левой клавиши мыши по соответствующей ячейке." sqref="F185"/>
    <dataValidation allowBlank="1" showInputMessage="1" showErrorMessage="1" prompt="Выберите виды деятельности, выполнив двойной щелчок левой кнопки мыши по ячейке." sqref="G185"/>
    <dataValidation type="textLength" operator="lessThanOrEqual" allowBlank="1" showInputMessage="1" showErrorMessage="1" errorTitle="Ошибка" error="Допускается ввод не более 900 символов!" sqref="J1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5"/>
    <dataValidation type="textLength" operator="lessThanOrEqual" allowBlank="1" showInputMessage="1" showErrorMessage="1" errorTitle="Ошибка" error="Допускается ввод не более 900 символов!" sqref="R185">
      <formula1>900</formula1>
    </dataValidation>
    <dataValidation allowBlank="1" showInputMessage="1" showErrorMessage="1" prompt="Для выбора выполните двойной щелчок левой клавиши мыши по соответствующей ячейке." sqref="S185"/>
    <dataValidation allowBlank="1" showInputMessage="1" showErrorMessage="1" prompt="Для выбора выполните двойной щелчок левой клавиши мыши по соответствующей ячейке." sqref="F186"/>
    <dataValidation allowBlank="1" showInputMessage="1" showErrorMessage="1" prompt="Выберите виды деятельности, выполнив двойной щелчок левой кнопки мыши по ячейке." sqref="G1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
    <dataValidation allowBlank="1" showInputMessage="1" showErrorMessage="1" prompt="Для выбора выполните двойной щелчок левой клавиши мыши по соответствующей ячейке." sqref="F187"/>
    <dataValidation allowBlank="1" showInputMessage="1" showErrorMessage="1" prompt="Выберите виды деятельности, выполнив двойной щелчок левой кнопки мыши по ячейке." sqref="G187"/>
    <dataValidation type="textLength" operator="lessThanOrEqual" allowBlank="1" showInputMessage="1" showErrorMessage="1" errorTitle="Ошибка" error="Допускается ввод не более 900 символов!" sqref="J18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7"/>
    <dataValidation allowBlank="1" showInputMessage="1" showErrorMessage="1" prompt="Для выбора выполните двойной щелчок левой клавиши мыши по соответствующей ячейке." sqref="O187"/>
    <dataValidation type="textLength" operator="lessThanOrEqual" allowBlank="1" showInputMessage="1" showErrorMessage="1" errorTitle="Ошибка" error="Допускается ввод не более 900 символов!" sqref="R187">
      <formula1>900</formula1>
    </dataValidation>
    <dataValidation allowBlank="1" showInputMessage="1" showErrorMessage="1" prompt="Для выбора выполните двойной щелчок левой клавиши мыши по соответствующей ячейке." sqref="S187"/>
    <dataValidation type="textLength" operator="lessThanOrEqual" allowBlank="1" showInputMessage="1" showErrorMessage="1" errorTitle="Ошибка" error="Допускается ввод не более 900 символов!" sqref="V187">
      <formula1>900</formula1>
    </dataValidation>
    <dataValidation type="textLength" operator="lessThanOrEqual" allowBlank="1" showInputMessage="1" showErrorMessage="1" errorTitle="Ошибка" error="Допускается ввод не более 900 символов!" sqref="W187">
      <formula1>900</formula1>
    </dataValidation>
    <dataValidation allowBlank="1" showInputMessage="1" showErrorMessage="1" prompt="Для выбора выполните двойной щелчок левой клавиши мыши по соответствующей ячейке." sqref="F188"/>
    <dataValidation allowBlank="1" showInputMessage="1" showErrorMessage="1" prompt="Выберите виды деятельности, выполнив двойной щелчок левой кнопки мыши по ячейке." sqref="G188"/>
    <dataValidation type="textLength" operator="lessThanOrEqual" allowBlank="1" showInputMessage="1" showErrorMessage="1" errorTitle="Ошибка" error="Допускается ввод не более 900 символов!" sqref="J1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8"/>
    <dataValidation type="textLength" operator="lessThanOrEqual" allowBlank="1" showInputMessage="1" showErrorMessage="1" errorTitle="Ошибка" error="Допускается ввод не более 900 символов!" sqref="R188">
      <formula1>900</formula1>
    </dataValidation>
    <dataValidation allowBlank="1" showInputMessage="1" showErrorMessage="1" prompt="Для выбора выполните двойной щелчок левой клавиши мыши по соответствующей ячейке." sqref="S188"/>
    <dataValidation allowBlank="1" showInputMessage="1" showErrorMessage="1" prompt="Для выбора выполните двойной щелчок левой клавиши мыши по соответствующей ячейке." sqref="F189"/>
    <dataValidation allowBlank="1" showInputMessage="1" showErrorMessage="1" prompt="Выберите виды деятельности, выполнив двойной щелчок левой кнопки мыши по ячейке." sqref="G1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9"/>
    <dataValidation allowBlank="1" showInputMessage="1" showErrorMessage="1" prompt="Для выбора выполните двойной щелчок левой клавиши мыши по соответствующей ячейке." sqref="F190"/>
    <dataValidation allowBlank="1" showInputMessage="1" showErrorMessage="1" prompt="Выберите виды деятельности, выполнив двойной щелчок левой кнопки мыши по ячейке." sqref="G190"/>
    <dataValidation type="textLength" operator="lessThanOrEqual" allowBlank="1" showInputMessage="1" showErrorMessage="1" errorTitle="Ошибка" error="Допускается ввод не более 900 символов!" sqref="J1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0"/>
    <dataValidation allowBlank="1" showInputMessage="1" showErrorMessage="1" prompt="Для выбора выполните двойной щелчок левой клавиши мыши по соответствующей ячейке." sqref="O190"/>
    <dataValidation type="textLength" operator="lessThanOrEqual" allowBlank="1" showInputMessage="1" showErrorMessage="1" errorTitle="Ошибка" error="Допускается ввод не более 900 символов!" sqref="R190">
      <formula1>900</formula1>
    </dataValidation>
    <dataValidation allowBlank="1" showInputMessage="1" showErrorMessage="1" prompt="Для выбора выполните двойной щелчок левой клавиши мыши по соответствующей ячейке." sqref="S190"/>
    <dataValidation type="textLength" operator="lessThanOrEqual" allowBlank="1" showInputMessage="1" showErrorMessage="1" errorTitle="Ошибка" error="Допускается ввод не более 900 символов!" sqref="V190">
      <formula1>900</formula1>
    </dataValidation>
    <dataValidation type="textLength" operator="lessThanOrEqual" allowBlank="1" showInputMessage="1" showErrorMessage="1" errorTitle="Ошибка" error="Допускается ввод не более 900 символов!" sqref="W190">
      <formula1>900</formula1>
    </dataValidation>
    <dataValidation allowBlank="1" showInputMessage="1" showErrorMessage="1" prompt="Для выбора выполните двойной щелчок левой клавиши мыши по соответствующей ячейке." sqref="F191"/>
    <dataValidation allowBlank="1" showInputMessage="1" showErrorMessage="1" prompt="Выберите виды деятельности, выполнив двойной щелчок левой кнопки мыши по ячейке." sqref="G191"/>
    <dataValidation type="textLength" operator="lessThanOrEqual" allowBlank="1" showInputMessage="1" showErrorMessage="1" errorTitle="Ошибка" error="Допускается ввод не более 900 символов!" sqref="J1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1"/>
    <dataValidation type="textLength" operator="lessThanOrEqual" allowBlank="1" showInputMessage="1" showErrorMessage="1" errorTitle="Ошибка" error="Допускается ввод не более 900 символов!" sqref="R191">
      <formula1>900</formula1>
    </dataValidation>
    <dataValidation allowBlank="1" showInputMessage="1" showErrorMessage="1" prompt="Для выбора выполните двойной щелчок левой клавиши мыши по соответствующей ячейке." sqref="S191"/>
    <dataValidation allowBlank="1" showInputMessage="1" showErrorMessage="1" prompt="Для выбора выполните двойной щелчок левой клавиши мыши по соответствующей ячейке." sqref="F192"/>
    <dataValidation allowBlank="1" showInputMessage="1" showErrorMessage="1" prompt="Выберите виды деятельности, выполнив двойной щелчок левой кнопки мыши по ячейке." sqref="G1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4395" hidden="1"/>
    <col min="3" max="4" width="3.7109375" style="14395" customWidth="1"/>
    <col min="5" max="6" width="16" style="14395" customWidth="1"/>
    <col min="7" max="7" width="11.5703125" style="14395" customWidth="1"/>
    <col min="8" max="9" width="3.7109375" style="14395" customWidth="1"/>
    <col min="10" max="10" width="13.140625" style="14395" customWidth="1"/>
    <col min="11" max="11" width="0.28515625" style="14395" customWidth="1"/>
    <col min="12" max="13" width="10.7109375" style="14395" customWidth="1"/>
    <col min="14" max="15" width="3.7109375" style="14395" customWidth="1"/>
    <col min="16" max="16" width="19.7109375" style="14395" customWidth="1"/>
    <col min="17" max="17" width="0.28515625" style="14395" customWidth="1"/>
    <col min="18" max="19" width="10.7109375" style="14395" customWidth="1"/>
    <col min="20" max="21" width="3.7109375" style="14395" customWidth="1"/>
    <col min="22" max="22" width="25.7109375" style="14395" customWidth="1"/>
    <col min="23" max="23" width="0.28515625" style="14395" customWidth="1"/>
    <col min="24" max="25" width="10.7109375" style="14395" customWidth="1"/>
    <col min="26" max="27" width="3.7109375" style="14395" customWidth="1"/>
    <col min="28" max="28" width="16.42578125" style="14395" customWidth="1"/>
    <col min="29" max="29" width="0.28515625" style="14395" customWidth="1"/>
    <col min="30" max="31" width="10.7109375" style="14395" customWidth="1"/>
    <col min="32" max="33" width="3.7109375" style="14395" customWidth="1"/>
    <col min="34" max="34" width="8.7109375" style="14395" customWidth="1"/>
    <col min="35" max="35" width="21.7109375" style="14395" customWidth="1"/>
    <col min="36" max="36" width="9.140625" style="14359"/>
    <col min="37" max="37" width="9.140625" style="14396"/>
    <col min="38" max="64" width="9.140625" style="14359"/>
  </cols>
  <sheetData>
    <row r="1" spans="1:64" s="14391"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4392" customFormat="1" ht="11.25" hidden="1" customHeight="1">
      <c r="L2" s="1422" t="s">
        <v>416</v>
      </c>
      <c r="M2" s="1422" t="s">
        <v>417</v>
      </c>
      <c r="R2" s="1422" t="s">
        <v>418</v>
      </c>
      <c r="S2" s="1422" t="s">
        <v>417</v>
      </c>
      <c r="X2" s="1422" t="s">
        <v>416</v>
      </c>
      <c r="Y2" s="1422" t="s">
        <v>417</v>
      </c>
      <c r="AD2" s="1422" t="s">
        <v>416</v>
      </c>
      <c r="AE2" s="1422" t="s">
        <v>417</v>
      </c>
      <c r="AJ2" s="1443"/>
      <c r="AK2" s="1443"/>
      <c r="AL2" s="1443"/>
      <c r="AM2" s="1443"/>
      <c r="AN2" s="1443"/>
      <c r="AO2" s="1443"/>
      <c r="AP2" s="1443"/>
      <c r="AQ2" s="1443"/>
      <c r="AR2" s="1443"/>
      <c r="AS2" s="1443"/>
      <c r="AT2" s="1443"/>
      <c r="AU2" s="1443"/>
      <c r="AV2" s="1443"/>
      <c r="AW2" s="1443"/>
      <c r="AX2" s="1443"/>
      <c r="AY2" s="1443"/>
      <c r="AZ2" s="1443"/>
      <c r="BA2" s="1443"/>
      <c r="BB2" s="1443"/>
      <c r="BC2" s="1443"/>
      <c r="BD2" s="1443"/>
      <c r="BE2" s="1443"/>
      <c r="BF2" s="1443"/>
      <c r="BG2" s="1443"/>
      <c r="BH2" s="1443"/>
      <c r="BI2" s="1443"/>
      <c r="BJ2" s="1443"/>
      <c r="BK2" s="1443"/>
      <c r="BL2" s="1443"/>
    </row>
    <row r="3" spans="1:64" s="14393" customFormat="1" ht="11.25" customHeight="1">
      <c r="AJ3" s="1442"/>
      <c r="AK3" s="223"/>
      <c r="AL3" s="1442"/>
      <c r="AM3" s="1442"/>
      <c r="AN3" s="1442"/>
      <c r="AO3" s="1442"/>
      <c r="AP3" s="1442"/>
      <c r="AQ3" s="1442"/>
      <c r="AR3" s="1442"/>
      <c r="AS3" s="1442"/>
      <c r="AT3" s="1442"/>
      <c r="AU3" s="1442"/>
      <c r="AV3" s="1442"/>
      <c r="AW3" s="1442"/>
      <c r="AX3" s="1442"/>
      <c r="AY3" s="1442"/>
      <c r="AZ3" s="1442"/>
      <c r="BA3" s="1442"/>
      <c r="BB3" s="1442"/>
      <c r="BC3" s="1442"/>
      <c r="BD3" s="1442"/>
      <c r="BE3" s="1442"/>
      <c r="BF3" s="1442"/>
      <c r="BG3" s="1442"/>
      <c r="BH3" s="1442"/>
      <c r="BI3" s="1442"/>
      <c r="BJ3" s="1442"/>
      <c r="BK3" s="1442"/>
      <c r="BL3" s="1442"/>
    </row>
    <row r="4" spans="1:64" s="14358" customFormat="1" ht="33" customHeight="1">
      <c r="A4" s="1037"/>
      <c r="B4" s="1036"/>
      <c r="C4" s="1386"/>
      <c r="D4" s="16069" t="s">
        <v>419</v>
      </c>
      <c r="E4" s="16069"/>
      <c r="F4" s="16069"/>
      <c r="G4" s="16069"/>
      <c r="H4" s="16069"/>
      <c r="I4" s="16069"/>
      <c r="J4" s="16069"/>
      <c r="K4" s="600"/>
      <c r="T4" s="1423"/>
      <c r="AJ4" s="1444"/>
      <c r="AK4" s="1445"/>
      <c r="AL4" s="1444"/>
      <c r="AM4" s="1444"/>
      <c r="AN4" s="1444"/>
      <c r="AO4" s="1444"/>
      <c r="AP4" s="1444"/>
      <c r="AQ4" s="1444"/>
      <c r="AR4" s="1444"/>
      <c r="AS4" s="1444"/>
      <c r="AT4" s="1444"/>
      <c r="AU4" s="1444"/>
      <c r="AV4" s="1444"/>
      <c r="AW4" s="1444"/>
      <c r="AX4" s="1444"/>
      <c r="AY4" s="1444"/>
      <c r="AZ4" s="1444"/>
      <c r="BA4" s="1444"/>
      <c r="BB4" s="1444"/>
      <c r="BC4" s="1444"/>
      <c r="BD4" s="1444"/>
      <c r="BE4" s="1444"/>
      <c r="BF4" s="1444"/>
      <c r="BG4" s="1444"/>
      <c r="BH4" s="1444"/>
      <c r="BI4" s="1444"/>
      <c r="BJ4" s="1444"/>
      <c r="BK4" s="1444"/>
      <c r="BL4" s="1444"/>
    </row>
    <row r="5" spans="1:64" s="14394" customFormat="1" ht="14.25" customHeight="1">
      <c r="A5" s="1495"/>
      <c r="B5" s="1494"/>
      <c r="C5" s="1386"/>
      <c r="D5" s="16056" t="str">
        <f>IF(org=0,"Не определено",org)</f>
        <v>АО "Мурманэнергосбыт"</v>
      </c>
      <c r="E5" s="16056"/>
      <c r="F5" s="16056"/>
      <c r="G5" s="16056"/>
      <c r="H5" s="16056"/>
      <c r="I5" s="16056"/>
      <c r="J5" s="16056"/>
      <c r="K5" s="600"/>
      <c r="T5" s="1423"/>
      <c r="AJ5" s="1444"/>
      <c r="AK5" s="1445"/>
      <c r="AL5" s="1444"/>
      <c r="AM5" s="1444"/>
      <c r="AN5" s="1444"/>
      <c r="AO5" s="1444"/>
      <c r="AP5" s="1444"/>
      <c r="AQ5" s="1444"/>
      <c r="AR5" s="1444"/>
      <c r="AS5" s="1444"/>
      <c r="AT5" s="1444"/>
      <c r="AU5" s="1444"/>
      <c r="AV5" s="1444"/>
      <c r="AW5" s="1444"/>
      <c r="AX5" s="1444"/>
      <c r="AY5" s="1444"/>
      <c r="AZ5" s="1444"/>
      <c r="BA5" s="1444"/>
      <c r="BB5" s="1444"/>
      <c r="BC5" s="1444"/>
      <c r="BD5" s="1444"/>
      <c r="BE5" s="1444"/>
      <c r="BF5" s="1444"/>
      <c r="BG5" s="1444"/>
      <c r="BH5" s="1444"/>
      <c r="BI5" s="1444"/>
      <c r="BJ5" s="1444"/>
      <c r="BK5" s="1444"/>
      <c r="BL5" s="1444"/>
    </row>
    <row r="6" spans="1:64" s="14358" customFormat="1" ht="14.25" customHeight="1">
      <c r="A6" s="1037"/>
      <c r="B6" s="1036"/>
      <c r="C6" s="1386"/>
      <c r="D6" s="600"/>
      <c r="E6" s="600"/>
      <c r="F6" s="600"/>
      <c r="G6" s="600"/>
      <c r="H6" s="600"/>
      <c r="I6" s="600"/>
      <c r="J6" s="600"/>
      <c r="K6" s="600"/>
      <c r="T6" s="1423"/>
      <c r="AJ6" s="1444"/>
      <c r="AK6" s="1445"/>
      <c r="AL6" s="1444"/>
      <c r="AM6" s="1444"/>
      <c r="AN6" s="1444"/>
      <c r="AO6" s="1444"/>
      <c r="AP6" s="1444"/>
      <c r="AQ6" s="1444"/>
      <c r="AR6" s="1444"/>
      <c r="AS6" s="1444"/>
      <c r="AT6" s="1444"/>
      <c r="AU6" s="1444"/>
      <c r="AV6" s="1444"/>
      <c r="AW6" s="1444"/>
      <c r="AX6" s="1444"/>
      <c r="AY6" s="1444"/>
      <c r="AZ6" s="1444"/>
      <c r="BA6" s="1444"/>
      <c r="BB6" s="1444"/>
      <c r="BC6" s="1444"/>
      <c r="BD6" s="1444"/>
      <c r="BE6" s="1444"/>
      <c r="BF6" s="1444"/>
      <c r="BG6" s="1444"/>
      <c r="BH6" s="1444"/>
      <c r="BI6" s="1444"/>
      <c r="BJ6" s="1444"/>
      <c r="BK6" s="1444"/>
      <c r="BL6" s="1444"/>
    </row>
    <row r="7" spans="1:64" s="14391"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15992" t="s">
        <v>87</v>
      </c>
      <c r="E8" s="15992" t="s">
        <v>143</v>
      </c>
      <c r="F8" s="16070" t="s">
        <v>157</v>
      </c>
      <c r="G8" s="16071"/>
      <c r="H8" s="16070" t="s">
        <v>87</v>
      </c>
      <c r="I8" s="16071"/>
      <c r="J8" s="15992" t="s">
        <v>158</v>
      </c>
      <c r="K8" s="1424"/>
      <c r="L8" s="16055" t="s">
        <v>420</v>
      </c>
      <c r="M8" s="16055"/>
      <c r="N8" s="16055"/>
      <c r="O8" s="16055"/>
      <c r="P8" s="16055"/>
      <c r="Q8" s="1425"/>
      <c r="R8" s="15963" t="s">
        <v>421</v>
      </c>
      <c r="S8" s="15968"/>
      <c r="T8" s="15968"/>
      <c r="U8" s="15968"/>
      <c r="V8" s="15968"/>
      <c r="W8" s="1425"/>
      <c r="X8" s="15992" t="s">
        <v>422</v>
      </c>
      <c r="Y8" s="15992"/>
      <c r="Z8" s="15992"/>
      <c r="AA8" s="15992"/>
      <c r="AB8" s="15992"/>
      <c r="AC8" s="1426"/>
      <c r="AD8" s="15992" t="s">
        <v>423</v>
      </c>
      <c r="AE8" s="15992"/>
      <c r="AF8" s="15992"/>
      <c r="AG8" s="15992"/>
      <c r="AH8" s="15963"/>
      <c r="AI8" s="15992" t="s">
        <v>424</v>
      </c>
      <c r="AJ8" s="1442"/>
    </row>
    <row r="9" spans="1:64" ht="22.5" customHeight="1">
      <c r="D9" s="15992"/>
      <c r="E9" s="15992"/>
      <c r="F9" s="16055" t="s">
        <v>88</v>
      </c>
      <c r="G9" s="16055" t="s">
        <v>163</v>
      </c>
      <c r="H9" s="16072"/>
      <c r="I9" s="16073"/>
      <c r="J9" s="15963"/>
      <c r="K9" s="1427"/>
      <c r="L9" s="15992" t="s">
        <v>425</v>
      </c>
      <c r="M9" s="15963"/>
      <c r="N9" s="16070" t="s">
        <v>87</v>
      </c>
      <c r="O9" s="16071"/>
      <c r="P9" s="15992" t="s">
        <v>164</v>
      </c>
      <c r="Q9" s="1424"/>
      <c r="R9" s="15992" t="s">
        <v>425</v>
      </c>
      <c r="S9" s="15963"/>
      <c r="T9" s="16070" t="s">
        <v>87</v>
      </c>
      <c r="U9" s="16071"/>
      <c r="V9" s="15992" t="s">
        <v>164</v>
      </c>
      <c r="W9" s="1424"/>
      <c r="X9" s="15992" t="s">
        <v>425</v>
      </c>
      <c r="Y9" s="15963"/>
      <c r="Z9" s="16070" t="s">
        <v>87</v>
      </c>
      <c r="AA9" s="16071"/>
      <c r="AB9" s="15992" t="s">
        <v>426</v>
      </c>
      <c r="AC9" s="1424"/>
      <c r="AD9" s="15992" t="s">
        <v>425</v>
      </c>
      <c r="AE9" s="15963"/>
      <c r="AF9" s="16070" t="s">
        <v>87</v>
      </c>
      <c r="AG9" s="16071"/>
      <c r="AH9" s="15963" t="s">
        <v>426</v>
      </c>
      <c r="AI9" s="15992"/>
      <c r="AJ9" s="1442"/>
    </row>
    <row r="10" spans="1:64" ht="22.5" customHeight="1">
      <c r="D10" s="16055"/>
      <c r="E10" s="16055"/>
      <c r="F10" s="16074"/>
      <c r="G10" s="16074"/>
      <c r="H10" s="16075"/>
      <c r="I10" s="16076"/>
      <c r="J10" s="16070"/>
      <c r="K10" s="1427"/>
      <c r="L10" s="1446" t="s">
        <v>427</v>
      </c>
      <c r="M10" s="1441" t="s">
        <v>428</v>
      </c>
      <c r="N10" s="16072"/>
      <c r="O10" s="16073"/>
      <c r="P10" s="16055"/>
      <c r="Q10" s="1424"/>
      <c r="R10" s="1446" t="s">
        <v>427</v>
      </c>
      <c r="S10" s="1441" t="s">
        <v>428</v>
      </c>
      <c r="T10" s="16072"/>
      <c r="U10" s="16073"/>
      <c r="V10" s="16055"/>
      <c r="W10" s="1424"/>
      <c r="X10" s="1446" t="s">
        <v>427</v>
      </c>
      <c r="Y10" s="1441" t="s">
        <v>428</v>
      </c>
      <c r="Z10" s="16072"/>
      <c r="AA10" s="16073"/>
      <c r="AB10" s="16055"/>
      <c r="AC10" s="1424"/>
      <c r="AD10" s="1446" t="s">
        <v>427</v>
      </c>
      <c r="AE10" s="1441" t="s">
        <v>428</v>
      </c>
      <c r="AF10" s="16072"/>
      <c r="AG10" s="16073"/>
      <c r="AH10" s="16070"/>
      <c r="AI10" s="16055"/>
      <c r="AJ10" s="1442"/>
      <c r="AK10" s="173" t="s">
        <v>429</v>
      </c>
      <c r="AL10" s="173" t="s">
        <v>165</v>
      </c>
    </row>
    <row r="11" spans="1:64" ht="14.25" customHeight="1">
      <c r="D11" s="16063" t="s">
        <v>147</v>
      </c>
      <c r="E11" s="16059" t="s">
        <v>430</v>
      </c>
      <c r="F11" s="16059" t="s">
        <v>431</v>
      </c>
      <c r="G11" s="16044" t="s">
        <v>56</v>
      </c>
      <c r="H11" s="1467"/>
      <c r="I11" s="16061"/>
      <c r="J11" s="16017"/>
      <c r="K11" s="1385"/>
      <c r="L11" s="16002"/>
      <c r="M11" s="16002"/>
      <c r="N11" s="1452"/>
      <c r="O11" s="16002"/>
      <c r="P11" s="16017"/>
      <c r="Q11" s="1453"/>
      <c r="R11" s="16002"/>
      <c r="S11" s="16002"/>
      <c r="T11" s="1454"/>
      <c r="U11" s="16002"/>
      <c r="V11" s="16017"/>
      <c r="W11" s="1455"/>
      <c r="X11" s="16002"/>
      <c r="Y11" s="16002"/>
      <c r="Z11" s="1452"/>
      <c r="AA11" s="16002"/>
      <c r="AB11" s="16017"/>
      <c r="AC11" s="1456"/>
      <c r="AD11" s="16002"/>
      <c r="AE11" s="16002"/>
      <c r="AF11" s="1384"/>
      <c r="AG11" s="1384"/>
      <c r="AH11" s="1457"/>
      <c r="AI11" s="1176"/>
      <c r="AJ11" s="1442"/>
    </row>
    <row r="12" spans="1:64" ht="14.25" customHeight="1">
      <c r="D12" s="16063"/>
      <c r="E12" s="16059"/>
      <c r="F12" s="16059"/>
      <c r="G12" s="16045"/>
      <c r="H12" s="1468"/>
      <c r="I12" s="16062"/>
      <c r="J12" s="16018"/>
      <c r="K12" s="1476"/>
      <c r="L12" s="16003"/>
      <c r="M12" s="16003"/>
      <c r="N12" s="1458"/>
      <c r="O12" s="16003"/>
      <c r="P12" s="16018"/>
      <c r="Q12" s="1459"/>
      <c r="R12" s="16003"/>
      <c r="S12" s="16003"/>
      <c r="T12" s="1460"/>
      <c r="U12" s="16003"/>
      <c r="V12" s="16018"/>
      <c r="W12" s="1461"/>
      <c r="X12" s="16003"/>
      <c r="Y12" s="16003"/>
      <c r="Z12" s="1458"/>
      <c r="AA12" s="16003"/>
      <c r="AB12" s="16018"/>
      <c r="AC12" s="1462"/>
      <c r="AD12" s="16003"/>
      <c r="AE12" s="16003"/>
      <c r="AF12" s="1463"/>
      <c r="AG12" s="1463"/>
      <c r="AH12" s="16057"/>
      <c r="AI12" s="16058"/>
      <c r="AJ12" s="1442"/>
    </row>
    <row r="13" spans="1:64" ht="14.25" customHeight="1">
      <c r="D13" s="16063"/>
      <c r="E13" s="16059"/>
      <c r="F13" s="16059"/>
      <c r="G13" s="16045"/>
      <c r="H13" s="1468"/>
      <c r="I13" s="16062"/>
      <c r="J13" s="16018"/>
      <c r="K13" s="1476"/>
      <c r="L13" s="16003"/>
      <c r="M13" s="16003"/>
      <c r="N13" s="1458"/>
      <c r="O13" s="16003"/>
      <c r="P13" s="16018"/>
      <c r="Q13" s="1459"/>
      <c r="R13" s="16003"/>
      <c r="S13" s="16003"/>
      <c r="T13" s="1460"/>
      <c r="U13" s="16003"/>
      <c r="V13" s="16018"/>
      <c r="W13" s="1461"/>
      <c r="X13" s="16003"/>
      <c r="Y13" s="16003"/>
      <c r="Z13" s="1383"/>
      <c r="AA13" s="1463"/>
      <c r="AB13" s="16057"/>
      <c r="AC13" s="16057"/>
      <c r="AD13" s="16057"/>
      <c r="AE13" s="16057"/>
      <c r="AF13" s="16057"/>
      <c r="AG13" s="16057"/>
      <c r="AH13" s="16057"/>
      <c r="AI13" s="16058"/>
      <c r="AJ13" s="1442"/>
    </row>
    <row r="14" spans="1:64" ht="14.25" customHeight="1">
      <c r="D14" s="16063"/>
      <c r="E14" s="16059"/>
      <c r="F14" s="16059"/>
      <c r="G14" s="16045"/>
      <c r="H14" s="1468"/>
      <c r="I14" s="16062"/>
      <c r="J14" s="16018"/>
      <c r="K14" s="1476"/>
      <c r="L14" s="16003"/>
      <c r="M14" s="16003"/>
      <c r="N14" s="1458"/>
      <c r="O14" s="16003"/>
      <c r="P14" s="16018"/>
      <c r="Q14" s="1459"/>
      <c r="R14" s="16003"/>
      <c r="S14" s="16003"/>
      <c r="T14" s="1464"/>
      <c r="U14" s="1465"/>
      <c r="V14" s="16057"/>
      <c r="W14" s="16057"/>
      <c r="X14" s="16057"/>
      <c r="Y14" s="16057"/>
      <c r="Z14" s="16057"/>
      <c r="AA14" s="16057"/>
      <c r="AB14" s="16057"/>
      <c r="AC14" s="16057"/>
      <c r="AD14" s="16057"/>
      <c r="AE14" s="16057"/>
      <c r="AF14" s="16057"/>
      <c r="AG14" s="16057"/>
      <c r="AH14" s="16057"/>
      <c r="AI14" s="16058"/>
      <c r="AJ14" s="1442"/>
    </row>
    <row r="15" spans="1:64" ht="11.25" customHeight="1">
      <c r="D15" s="16063"/>
      <c r="E15" s="16059"/>
      <c r="F15" s="16059"/>
      <c r="G15" s="16045"/>
      <c r="H15" s="1469"/>
      <c r="I15" s="16062"/>
      <c r="J15" s="16018"/>
      <c r="K15" s="1476"/>
      <c r="L15" s="16003"/>
      <c r="M15" s="16003"/>
      <c r="N15" s="1463"/>
      <c r="O15" s="1463"/>
      <c r="P15" s="16057"/>
      <c r="Q15" s="16057"/>
      <c r="R15" s="16057"/>
      <c r="S15" s="16057"/>
      <c r="T15" s="16057"/>
      <c r="U15" s="16057"/>
      <c r="V15" s="16057"/>
      <c r="W15" s="16057"/>
      <c r="X15" s="16057"/>
      <c r="Y15" s="16057"/>
      <c r="Z15" s="16057"/>
      <c r="AA15" s="16057"/>
      <c r="AB15" s="16057"/>
      <c r="AC15" s="16057"/>
      <c r="AD15" s="16057"/>
      <c r="AE15" s="16057"/>
      <c r="AF15" s="16057"/>
      <c r="AG15" s="16057"/>
      <c r="AH15" s="16057"/>
      <c r="AI15" s="16058"/>
      <c r="AJ15" s="1442"/>
    </row>
    <row r="16" spans="1:64" s="14393" customFormat="1" ht="11.25" customHeight="1">
      <c r="D16" s="16067"/>
      <c r="E16" s="16068"/>
      <c r="F16" s="16060"/>
      <c r="G16" s="15978"/>
      <c r="H16" s="1466"/>
      <c r="I16" s="1470"/>
      <c r="J16" s="16065"/>
      <c r="K16" s="16065"/>
      <c r="L16" s="16065"/>
      <c r="M16" s="16065"/>
      <c r="N16" s="16065"/>
      <c r="O16" s="16065"/>
      <c r="P16" s="16065"/>
      <c r="Q16" s="16065"/>
      <c r="R16" s="16065"/>
      <c r="S16" s="16065"/>
      <c r="T16" s="16065"/>
      <c r="U16" s="16065"/>
      <c r="V16" s="16065"/>
      <c r="W16" s="16065"/>
      <c r="X16" s="16065"/>
      <c r="Y16" s="16065"/>
      <c r="Z16" s="16065"/>
      <c r="AA16" s="16065"/>
      <c r="AB16" s="16065"/>
      <c r="AC16" s="16065"/>
      <c r="AD16" s="16065"/>
      <c r="AE16" s="16065"/>
      <c r="AF16" s="16065"/>
      <c r="AG16" s="16065"/>
      <c r="AH16" s="16065"/>
      <c r="AI16" s="16066"/>
      <c r="AJ16" s="1442"/>
      <c r="AK16" s="223"/>
      <c r="AL16" s="1442"/>
      <c r="AM16" s="1442"/>
      <c r="AN16" s="1442"/>
      <c r="AO16" s="1442"/>
      <c r="AP16" s="1442"/>
      <c r="AQ16" s="1442"/>
      <c r="AR16" s="1442"/>
      <c r="AS16" s="1442"/>
      <c r="AT16" s="1442"/>
      <c r="AU16" s="1442"/>
      <c r="AV16" s="1442"/>
      <c r="AW16" s="1442"/>
      <c r="AX16" s="1442"/>
      <c r="AY16" s="1442"/>
      <c r="AZ16" s="1442"/>
      <c r="BA16" s="1442"/>
      <c r="BB16" s="1442"/>
      <c r="BC16" s="1442"/>
      <c r="BD16" s="1442"/>
      <c r="BE16" s="1442"/>
      <c r="BF16" s="1442"/>
      <c r="BG16" s="1442"/>
      <c r="BH16" s="1442"/>
      <c r="BI16" s="1442"/>
      <c r="BJ16" s="1442"/>
      <c r="BK16" s="1442"/>
      <c r="BL16" s="1442"/>
    </row>
    <row r="17" spans="4:64" ht="14.25" customHeight="1">
      <c r="D17" s="16063" t="s">
        <v>102</v>
      </c>
      <c r="E17" s="16059" t="s">
        <v>430</v>
      </c>
      <c r="F17" s="16059" t="s">
        <v>432</v>
      </c>
      <c r="G17" s="16044" t="s">
        <v>56</v>
      </c>
      <c r="H17" s="1467"/>
      <c r="I17" s="16061"/>
      <c r="J17" s="16017"/>
      <c r="K17" s="1385"/>
      <c r="L17" s="16002"/>
      <c r="M17" s="16002"/>
      <c r="N17" s="1452"/>
      <c r="O17" s="16002"/>
      <c r="P17" s="16017"/>
      <c r="Q17" s="1453"/>
      <c r="R17" s="16002"/>
      <c r="S17" s="16002"/>
      <c r="T17" s="1454"/>
      <c r="U17" s="16002"/>
      <c r="V17" s="16017"/>
      <c r="W17" s="1455"/>
      <c r="X17" s="16002"/>
      <c r="Y17" s="16002"/>
      <c r="Z17" s="1452"/>
      <c r="AA17" s="16002"/>
      <c r="AB17" s="16017"/>
      <c r="AC17" s="1456"/>
      <c r="AD17" s="16002"/>
      <c r="AE17" s="16002"/>
      <c r="AF17" s="1384"/>
      <c r="AG17" s="1384"/>
      <c r="AH17" s="1457"/>
      <c r="AI17" s="1176"/>
      <c r="AJ17" s="1442"/>
    </row>
    <row r="18" spans="4:64" ht="14.25" customHeight="1">
      <c r="D18" s="16063"/>
      <c r="E18" s="16059"/>
      <c r="F18" s="16059"/>
      <c r="G18" s="16045"/>
      <c r="H18" s="1468"/>
      <c r="I18" s="16062"/>
      <c r="J18" s="16018"/>
      <c r="K18" s="1451"/>
      <c r="L18" s="16003"/>
      <c r="M18" s="16003"/>
      <c r="N18" s="1458"/>
      <c r="O18" s="16003"/>
      <c r="P18" s="16018"/>
      <c r="Q18" s="1459"/>
      <c r="R18" s="16003"/>
      <c r="S18" s="16003"/>
      <c r="T18" s="1460"/>
      <c r="U18" s="16003"/>
      <c r="V18" s="16018"/>
      <c r="W18" s="1461"/>
      <c r="X18" s="16003"/>
      <c r="Y18" s="16003"/>
      <c r="Z18" s="1458"/>
      <c r="AA18" s="16003"/>
      <c r="AB18" s="16018"/>
      <c r="AC18" s="1462"/>
      <c r="AD18" s="16003"/>
      <c r="AE18" s="16003"/>
      <c r="AF18" s="1463"/>
      <c r="AG18" s="1463"/>
      <c r="AH18" s="16057"/>
      <c r="AI18" s="16058"/>
      <c r="AJ18" s="1442"/>
    </row>
    <row r="19" spans="4:64" ht="14.25" customHeight="1">
      <c r="D19" s="16063"/>
      <c r="E19" s="16059"/>
      <c r="F19" s="16059"/>
      <c r="G19" s="16045"/>
      <c r="H19" s="1468"/>
      <c r="I19" s="16062"/>
      <c r="J19" s="16018"/>
      <c r="K19" s="1451"/>
      <c r="L19" s="16003"/>
      <c r="M19" s="16003"/>
      <c r="N19" s="1458"/>
      <c r="O19" s="16003"/>
      <c r="P19" s="16018"/>
      <c r="Q19" s="1459"/>
      <c r="R19" s="16003"/>
      <c r="S19" s="16003"/>
      <c r="T19" s="1460"/>
      <c r="U19" s="16003"/>
      <c r="V19" s="16018"/>
      <c r="W19" s="1461"/>
      <c r="X19" s="16003"/>
      <c r="Y19" s="16003"/>
      <c r="Z19" s="1383"/>
      <c r="AA19" s="1463"/>
      <c r="AB19" s="16057"/>
      <c r="AC19" s="16057"/>
      <c r="AD19" s="16057"/>
      <c r="AE19" s="16057"/>
      <c r="AF19" s="16057"/>
      <c r="AG19" s="16057"/>
      <c r="AH19" s="16057"/>
      <c r="AI19" s="16058"/>
      <c r="AJ19" s="1442"/>
    </row>
    <row r="20" spans="4:64" ht="14.25" customHeight="1">
      <c r="D20" s="16063"/>
      <c r="E20" s="16059"/>
      <c r="F20" s="16059"/>
      <c r="G20" s="16045"/>
      <c r="H20" s="1468"/>
      <c r="I20" s="16062"/>
      <c r="J20" s="16018"/>
      <c r="K20" s="1451"/>
      <c r="L20" s="16003"/>
      <c r="M20" s="16003"/>
      <c r="N20" s="1458"/>
      <c r="O20" s="16003"/>
      <c r="P20" s="16018"/>
      <c r="Q20" s="1459"/>
      <c r="R20" s="16003"/>
      <c r="S20" s="16003"/>
      <c r="T20" s="1464"/>
      <c r="U20" s="1465"/>
      <c r="V20" s="16057"/>
      <c r="W20" s="16057"/>
      <c r="X20" s="16057"/>
      <c r="Y20" s="16057"/>
      <c r="Z20" s="16057"/>
      <c r="AA20" s="16057"/>
      <c r="AB20" s="16057"/>
      <c r="AC20" s="16057"/>
      <c r="AD20" s="16057"/>
      <c r="AE20" s="16057"/>
      <c r="AF20" s="16057"/>
      <c r="AG20" s="16057"/>
      <c r="AH20" s="16057"/>
      <c r="AI20" s="16058"/>
      <c r="AJ20" s="1442"/>
    </row>
    <row r="21" spans="4:64" ht="11.25" customHeight="1">
      <c r="D21" s="16063"/>
      <c r="E21" s="16059"/>
      <c r="F21" s="16059"/>
      <c r="G21" s="16045"/>
      <c r="H21" s="1469"/>
      <c r="I21" s="16062"/>
      <c r="J21" s="16018"/>
      <c r="K21" s="1451"/>
      <c r="L21" s="16003"/>
      <c r="M21" s="16003"/>
      <c r="N21" s="1463"/>
      <c r="O21" s="1463"/>
      <c r="P21" s="16057"/>
      <c r="Q21" s="16057"/>
      <c r="R21" s="16057"/>
      <c r="S21" s="16057"/>
      <c r="T21" s="16057"/>
      <c r="U21" s="16057"/>
      <c r="V21" s="16057"/>
      <c r="W21" s="16057"/>
      <c r="X21" s="16057"/>
      <c r="Y21" s="16057"/>
      <c r="Z21" s="16057"/>
      <c r="AA21" s="16057"/>
      <c r="AB21" s="16057"/>
      <c r="AC21" s="16057"/>
      <c r="AD21" s="16057"/>
      <c r="AE21" s="16057"/>
      <c r="AF21" s="16057"/>
      <c r="AG21" s="16057"/>
      <c r="AH21" s="16057"/>
      <c r="AI21" s="16058"/>
      <c r="AJ21" s="1442"/>
    </row>
    <row r="22" spans="4:64" s="14393" customFormat="1" ht="11.25" customHeight="1">
      <c r="D22" s="16067"/>
      <c r="E22" s="16068"/>
      <c r="F22" s="16060"/>
      <c r="G22" s="15978"/>
      <c r="H22" s="1466"/>
      <c r="I22" s="1470"/>
      <c r="J22" s="16065"/>
      <c r="K22" s="16065"/>
      <c r="L22" s="16065"/>
      <c r="M22" s="16065"/>
      <c r="N22" s="16065"/>
      <c r="O22" s="16065"/>
      <c r="P22" s="16065"/>
      <c r="Q22" s="16065"/>
      <c r="R22" s="16065"/>
      <c r="S22" s="16065"/>
      <c r="T22" s="16065"/>
      <c r="U22" s="16065"/>
      <c r="V22" s="16065"/>
      <c r="W22" s="16065"/>
      <c r="X22" s="16065"/>
      <c r="Y22" s="16065"/>
      <c r="Z22" s="16065"/>
      <c r="AA22" s="16065"/>
      <c r="AB22" s="16065"/>
      <c r="AC22" s="16065"/>
      <c r="AD22" s="16065"/>
      <c r="AE22" s="16065"/>
      <c r="AF22" s="16065"/>
      <c r="AG22" s="16065"/>
      <c r="AH22" s="16065"/>
      <c r="AI22" s="16066"/>
      <c r="AJ22" s="1442"/>
      <c r="AK22" s="223"/>
      <c r="AL22" s="1442"/>
      <c r="AM22" s="1442"/>
      <c r="AN22" s="1442"/>
      <c r="AO22" s="1442"/>
      <c r="AP22" s="1442"/>
      <c r="AQ22" s="1442"/>
      <c r="AR22" s="1442"/>
      <c r="AS22" s="1442"/>
      <c r="AT22" s="1442"/>
      <c r="AU22" s="1442"/>
      <c r="AV22" s="1442"/>
      <c r="AW22" s="1442"/>
      <c r="AX22" s="1442"/>
      <c r="AY22" s="1442"/>
      <c r="AZ22" s="1442"/>
      <c r="BA22" s="1442"/>
      <c r="BB22" s="1442"/>
      <c r="BC22" s="1442"/>
      <c r="BD22" s="1442"/>
      <c r="BE22" s="1442"/>
      <c r="BF22" s="1442"/>
      <c r="BG22" s="1442"/>
      <c r="BH22" s="1442"/>
      <c r="BI22" s="1442"/>
      <c r="BJ22" s="1442"/>
      <c r="BK22" s="1442"/>
      <c r="BL22" s="1442"/>
    </row>
    <row r="23" spans="4:64" ht="14.25" customHeight="1">
      <c r="D23" s="16063" t="s">
        <v>89</v>
      </c>
      <c r="E23" s="16059" t="s">
        <v>430</v>
      </c>
      <c r="F23" s="16059" t="s">
        <v>433</v>
      </c>
      <c r="G23" s="16044" t="s">
        <v>56</v>
      </c>
      <c r="H23" s="1467"/>
      <c r="I23" s="16061"/>
      <c r="J23" s="16017"/>
      <c r="K23" s="1385"/>
      <c r="L23" s="16002"/>
      <c r="M23" s="16002"/>
      <c r="N23" s="1452"/>
      <c r="O23" s="16002"/>
      <c r="P23" s="16017"/>
      <c r="Q23" s="1453"/>
      <c r="R23" s="16002"/>
      <c r="S23" s="16002"/>
      <c r="T23" s="1454"/>
      <c r="U23" s="16002"/>
      <c r="V23" s="16017"/>
      <c r="W23" s="1455"/>
      <c r="X23" s="16002"/>
      <c r="Y23" s="16002"/>
      <c r="Z23" s="1452"/>
      <c r="AA23" s="16002"/>
      <c r="AB23" s="16017"/>
      <c r="AC23" s="1456"/>
      <c r="AD23" s="16002"/>
      <c r="AE23" s="16002"/>
      <c r="AF23" s="1384"/>
      <c r="AG23" s="1384"/>
      <c r="AH23" s="1457"/>
      <c r="AI23" s="1176"/>
      <c r="AJ23" s="1442"/>
      <c r="AK23" s="223" t="s">
        <v>97</v>
      </c>
    </row>
    <row r="24" spans="4:64" ht="14.25" customHeight="1">
      <c r="D24" s="16063"/>
      <c r="E24" s="16059"/>
      <c r="F24" s="16059"/>
      <c r="G24" s="16045"/>
      <c r="H24" s="1468"/>
      <c r="I24" s="16062"/>
      <c r="J24" s="16018"/>
      <c r="K24" s="1476"/>
      <c r="L24" s="16003"/>
      <c r="M24" s="16003"/>
      <c r="N24" s="1458"/>
      <c r="O24" s="16003"/>
      <c r="P24" s="16018"/>
      <c r="Q24" s="1459"/>
      <c r="R24" s="16003"/>
      <c r="S24" s="16003"/>
      <c r="T24" s="1460"/>
      <c r="U24" s="16003"/>
      <c r="V24" s="16018"/>
      <c r="W24" s="1461"/>
      <c r="X24" s="16003"/>
      <c r="Y24" s="16003"/>
      <c r="Z24" s="1458"/>
      <c r="AA24" s="16003"/>
      <c r="AB24" s="16018"/>
      <c r="AC24" s="1462"/>
      <c r="AD24" s="16003"/>
      <c r="AE24" s="16003"/>
      <c r="AF24" s="1463"/>
      <c r="AG24" s="1463"/>
      <c r="AH24" s="16057"/>
      <c r="AI24" s="16058"/>
      <c r="AJ24" s="1442"/>
    </row>
    <row r="25" spans="4:64" ht="14.25" customHeight="1">
      <c r="D25" s="16063"/>
      <c r="E25" s="16059"/>
      <c r="F25" s="16059"/>
      <c r="G25" s="16045"/>
      <c r="H25" s="1468"/>
      <c r="I25" s="16062"/>
      <c r="J25" s="16018"/>
      <c r="K25" s="1476"/>
      <c r="L25" s="16003"/>
      <c r="M25" s="16003"/>
      <c r="N25" s="1458"/>
      <c r="O25" s="16003"/>
      <c r="P25" s="16018"/>
      <c r="Q25" s="1459"/>
      <c r="R25" s="16003"/>
      <c r="S25" s="16003"/>
      <c r="T25" s="1460"/>
      <c r="U25" s="16003"/>
      <c r="V25" s="16018"/>
      <c r="W25" s="1461"/>
      <c r="X25" s="16003"/>
      <c r="Y25" s="16003"/>
      <c r="Z25" s="1383"/>
      <c r="AA25" s="1463"/>
      <c r="AB25" s="16057"/>
      <c r="AC25" s="16057"/>
      <c r="AD25" s="16057"/>
      <c r="AE25" s="16057"/>
      <c r="AF25" s="16057"/>
      <c r="AG25" s="16057"/>
      <c r="AH25" s="16057"/>
      <c r="AI25" s="16058"/>
      <c r="AJ25" s="1442"/>
    </row>
    <row r="26" spans="4:64" ht="14.25" customHeight="1">
      <c r="D26" s="16063"/>
      <c r="E26" s="16059"/>
      <c r="F26" s="16059"/>
      <c r="G26" s="16045"/>
      <c r="H26" s="1468"/>
      <c r="I26" s="16062"/>
      <c r="J26" s="16018"/>
      <c r="K26" s="1476"/>
      <c r="L26" s="16003"/>
      <c r="M26" s="16003"/>
      <c r="N26" s="1458"/>
      <c r="O26" s="16003"/>
      <c r="P26" s="16018"/>
      <c r="Q26" s="1459"/>
      <c r="R26" s="16003"/>
      <c r="S26" s="16003"/>
      <c r="T26" s="1464"/>
      <c r="U26" s="1465"/>
      <c r="V26" s="16057"/>
      <c r="W26" s="16057"/>
      <c r="X26" s="16057"/>
      <c r="Y26" s="16057"/>
      <c r="Z26" s="16057"/>
      <c r="AA26" s="16057"/>
      <c r="AB26" s="16057"/>
      <c r="AC26" s="16057"/>
      <c r="AD26" s="16057"/>
      <c r="AE26" s="16057"/>
      <c r="AF26" s="16057"/>
      <c r="AG26" s="16057"/>
      <c r="AH26" s="16057"/>
      <c r="AI26" s="16058"/>
      <c r="AJ26" s="1442"/>
    </row>
    <row r="27" spans="4:64" ht="11.25" customHeight="1">
      <c r="D27" s="16063"/>
      <c r="E27" s="16059"/>
      <c r="F27" s="16059"/>
      <c r="G27" s="16045"/>
      <c r="H27" s="1469"/>
      <c r="I27" s="16062"/>
      <c r="J27" s="16018"/>
      <c r="K27" s="1476"/>
      <c r="L27" s="16003"/>
      <c r="M27" s="16003"/>
      <c r="N27" s="1463"/>
      <c r="O27" s="1463"/>
      <c r="P27" s="16057"/>
      <c r="Q27" s="16057"/>
      <c r="R27" s="16057"/>
      <c r="S27" s="16057"/>
      <c r="T27" s="16057"/>
      <c r="U27" s="16057"/>
      <c r="V27" s="16057"/>
      <c r="W27" s="16057"/>
      <c r="X27" s="16057"/>
      <c r="Y27" s="16057"/>
      <c r="Z27" s="16057"/>
      <c r="AA27" s="16057"/>
      <c r="AB27" s="16057"/>
      <c r="AC27" s="16057"/>
      <c r="AD27" s="16057"/>
      <c r="AE27" s="16057"/>
      <c r="AF27" s="16057"/>
      <c r="AG27" s="16057"/>
      <c r="AH27" s="16057"/>
      <c r="AI27" s="16058"/>
      <c r="AJ27" s="1442"/>
    </row>
    <row r="28" spans="4:64" s="14393" customFormat="1" ht="11.25" customHeight="1">
      <c r="D28" s="16067"/>
      <c r="E28" s="16068"/>
      <c r="F28" s="16060"/>
      <c r="G28" s="15978"/>
      <c r="H28" s="1466"/>
      <c r="I28" s="1470"/>
      <c r="J28" s="16065"/>
      <c r="K28" s="16065"/>
      <c r="L28" s="16065"/>
      <c r="M28" s="16065"/>
      <c r="N28" s="16065"/>
      <c r="O28" s="16065"/>
      <c r="P28" s="16065"/>
      <c r="Q28" s="16065"/>
      <c r="R28" s="16065"/>
      <c r="S28" s="16065"/>
      <c r="T28" s="16065"/>
      <c r="U28" s="16065"/>
      <c r="V28" s="16065"/>
      <c r="W28" s="16065"/>
      <c r="X28" s="16065"/>
      <c r="Y28" s="16065"/>
      <c r="Z28" s="16065"/>
      <c r="AA28" s="16065"/>
      <c r="AB28" s="16065"/>
      <c r="AC28" s="16065"/>
      <c r="AD28" s="16065"/>
      <c r="AE28" s="16065"/>
      <c r="AF28" s="16065"/>
      <c r="AG28" s="16065"/>
      <c r="AH28" s="16065"/>
      <c r="AI28" s="16066"/>
      <c r="AJ28" s="1442"/>
      <c r="AK28" s="223"/>
      <c r="AL28" s="1442"/>
      <c r="AM28" s="1442"/>
      <c r="AN28" s="1442"/>
      <c r="AO28" s="1442"/>
      <c r="AP28" s="1442"/>
      <c r="AQ28" s="1442"/>
      <c r="AR28" s="1442"/>
      <c r="AS28" s="1442"/>
      <c r="AT28" s="1442"/>
      <c r="AU28" s="1442"/>
      <c r="AV28" s="1442"/>
      <c r="AW28" s="1442"/>
      <c r="AX28" s="1442"/>
      <c r="AY28" s="1442"/>
      <c r="AZ28" s="1442"/>
      <c r="BA28" s="1442"/>
      <c r="BB28" s="1442"/>
      <c r="BC28" s="1442"/>
      <c r="BD28" s="1442"/>
      <c r="BE28" s="1442"/>
      <c r="BF28" s="1442"/>
      <c r="BG28" s="1442"/>
      <c r="BH28" s="1442"/>
      <c r="BI28" s="1442"/>
      <c r="BJ28" s="1442"/>
      <c r="BK28" s="1442"/>
      <c r="BL28" s="1442"/>
    </row>
    <row r="29" spans="4:64" ht="14.25" customHeight="1">
      <c r="D29" s="16063" t="s">
        <v>90</v>
      </c>
      <c r="E29" s="16059" t="s">
        <v>430</v>
      </c>
      <c r="F29" s="16059" t="s">
        <v>434</v>
      </c>
      <c r="G29" s="16044" t="s">
        <v>56</v>
      </c>
      <c r="H29" s="1467"/>
      <c r="I29" s="16061"/>
      <c r="J29" s="16017"/>
      <c r="K29" s="1385"/>
      <c r="L29" s="16002"/>
      <c r="M29" s="16002"/>
      <c r="N29" s="1452"/>
      <c r="O29" s="16002"/>
      <c r="P29" s="16017"/>
      <c r="Q29" s="1453"/>
      <c r="R29" s="16002"/>
      <c r="S29" s="16002"/>
      <c r="T29" s="1454"/>
      <c r="U29" s="16002"/>
      <c r="V29" s="16017"/>
      <c r="W29" s="1455"/>
      <c r="X29" s="16002"/>
      <c r="Y29" s="16002"/>
      <c r="Z29" s="1452"/>
      <c r="AA29" s="16002"/>
      <c r="AB29" s="16017"/>
      <c r="AC29" s="1456"/>
      <c r="AD29" s="16002"/>
      <c r="AE29" s="16002"/>
      <c r="AF29" s="1384"/>
      <c r="AG29" s="1384"/>
      <c r="AH29" s="1457"/>
      <c r="AI29" s="1176"/>
      <c r="AJ29" s="1442"/>
    </row>
    <row r="30" spans="4:64" ht="14.25" customHeight="1">
      <c r="D30" s="16063"/>
      <c r="E30" s="16059"/>
      <c r="F30" s="16059"/>
      <c r="G30" s="16045"/>
      <c r="H30" s="1468"/>
      <c r="I30" s="16062"/>
      <c r="J30" s="16018"/>
      <c r="K30" s="1451"/>
      <c r="L30" s="16003"/>
      <c r="M30" s="16003"/>
      <c r="N30" s="1458"/>
      <c r="O30" s="16003"/>
      <c r="P30" s="16018"/>
      <c r="Q30" s="1459"/>
      <c r="R30" s="16003"/>
      <c r="S30" s="16003"/>
      <c r="T30" s="1460"/>
      <c r="U30" s="16003"/>
      <c r="V30" s="16018"/>
      <c r="W30" s="1461"/>
      <c r="X30" s="16003"/>
      <c r="Y30" s="16003"/>
      <c r="Z30" s="1458"/>
      <c r="AA30" s="16003"/>
      <c r="AB30" s="16018"/>
      <c r="AC30" s="1462"/>
      <c r="AD30" s="16003"/>
      <c r="AE30" s="16003"/>
      <c r="AF30" s="1463"/>
      <c r="AG30" s="1463"/>
      <c r="AH30" s="16057"/>
      <c r="AI30" s="16058"/>
      <c r="AJ30" s="1442"/>
    </row>
    <row r="31" spans="4:64" ht="14.25" customHeight="1">
      <c r="D31" s="16063"/>
      <c r="E31" s="16059"/>
      <c r="F31" s="16059"/>
      <c r="G31" s="16045"/>
      <c r="H31" s="1468"/>
      <c r="I31" s="16062"/>
      <c r="J31" s="16018"/>
      <c r="K31" s="1451"/>
      <c r="L31" s="16003"/>
      <c r="M31" s="16003"/>
      <c r="N31" s="1458"/>
      <c r="O31" s="16003"/>
      <c r="P31" s="16018"/>
      <c r="Q31" s="1459"/>
      <c r="R31" s="16003"/>
      <c r="S31" s="16003"/>
      <c r="T31" s="1460"/>
      <c r="U31" s="16003"/>
      <c r="V31" s="16018"/>
      <c r="W31" s="1461"/>
      <c r="X31" s="16003"/>
      <c r="Y31" s="16003"/>
      <c r="Z31" s="1383"/>
      <c r="AA31" s="1463"/>
      <c r="AB31" s="16057"/>
      <c r="AC31" s="16057"/>
      <c r="AD31" s="16057"/>
      <c r="AE31" s="16057"/>
      <c r="AF31" s="16057"/>
      <c r="AG31" s="16057"/>
      <c r="AH31" s="16057"/>
      <c r="AI31" s="16058"/>
      <c r="AJ31" s="1442"/>
    </row>
    <row r="32" spans="4:64" ht="14.25" customHeight="1">
      <c r="D32" s="16063"/>
      <c r="E32" s="16059"/>
      <c r="F32" s="16059"/>
      <c r="G32" s="16045"/>
      <c r="H32" s="1468"/>
      <c r="I32" s="16062"/>
      <c r="J32" s="16018"/>
      <c r="K32" s="1451"/>
      <c r="L32" s="16003"/>
      <c r="M32" s="16003"/>
      <c r="N32" s="1458"/>
      <c r="O32" s="16003"/>
      <c r="P32" s="16018"/>
      <c r="Q32" s="1459"/>
      <c r="R32" s="16003"/>
      <c r="S32" s="16003"/>
      <c r="T32" s="1464"/>
      <c r="U32" s="1465"/>
      <c r="V32" s="16057"/>
      <c r="W32" s="16057"/>
      <c r="X32" s="16057"/>
      <c r="Y32" s="16057"/>
      <c r="Z32" s="16057"/>
      <c r="AA32" s="16057"/>
      <c r="AB32" s="16057"/>
      <c r="AC32" s="16057"/>
      <c r="AD32" s="16057"/>
      <c r="AE32" s="16057"/>
      <c r="AF32" s="16057"/>
      <c r="AG32" s="16057"/>
      <c r="AH32" s="16057"/>
      <c r="AI32" s="16058"/>
      <c r="AJ32" s="1442"/>
    </row>
    <row r="33" spans="4:64" ht="11.25" customHeight="1">
      <c r="D33" s="16063"/>
      <c r="E33" s="16059"/>
      <c r="F33" s="16059"/>
      <c r="G33" s="16045"/>
      <c r="H33" s="1469"/>
      <c r="I33" s="16062"/>
      <c r="J33" s="16018"/>
      <c r="K33" s="1451"/>
      <c r="L33" s="16003"/>
      <c r="M33" s="16003"/>
      <c r="N33" s="1463"/>
      <c r="O33" s="1463"/>
      <c r="P33" s="16057"/>
      <c r="Q33" s="16057"/>
      <c r="R33" s="16057"/>
      <c r="S33" s="16057"/>
      <c r="T33" s="16057"/>
      <c r="U33" s="16057"/>
      <c r="V33" s="16057"/>
      <c r="W33" s="16057"/>
      <c r="X33" s="16057"/>
      <c r="Y33" s="16057"/>
      <c r="Z33" s="16057"/>
      <c r="AA33" s="16057"/>
      <c r="AB33" s="16057"/>
      <c r="AC33" s="16057"/>
      <c r="AD33" s="16057"/>
      <c r="AE33" s="16057"/>
      <c r="AF33" s="16057"/>
      <c r="AG33" s="16057"/>
      <c r="AH33" s="16057"/>
      <c r="AI33" s="16058"/>
      <c r="AJ33" s="1442"/>
    </row>
    <row r="34" spans="4:64" s="14393" customFormat="1" ht="11.25" customHeight="1">
      <c r="D34" s="16067"/>
      <c r="E34" s="16068"/>
      <c r="F34" s="16060"/>
      <c r="G34" s="15978"/>
      <c r="H34" s="1466"/>
      <c r="I34" s="1470"/>
      <c r="J34" s="16065"/>
      <c r="K34" s="16065"/>
      <c r="L34" s="16065"/>
      <c r="M34" s="16065"/>
      <c r="N34" s="16065"/>
      <c r="O34" s="16065"/>
      <c r="P34" s="16065"/>
      <c r="Q34" s="16065"/>
      <c r="R34" s="16065"/>
      <c r="S34" s="16065"/>
      <c r="T34" s="16065"/>
      <c r="U34" s="16065"/>
      <c r="V34" s="16065"/>
      <c r="W34" s="16065"/>
      <c r="X34" s="16065"/>
      <c r="Y34" s="16065"/>
      <c r="Z34" s="16065"/>
      <c r="AA34" s="16065"/>
      <c r="AB34" s="16065"/>
      <c r="AC34" s="16065"/>
      <c r="AD34" s="16065"/>
      <c r="AE34" s="16065"/>
      <c r="AF34" s="16065"/>
      <c r="AG34" s="16065"/>
      <c r="AH34" s="16065"/>
      <c r="AI34" s="16066"/>
      <c r="AJ34" s="1442"/>
      <c r="AK34" s="223"/>
      <c r="AL34" s="1442"/>
      <c r="AM34" s="1442"/>
      <c r="AN34" s="1442"/>
      <c r="AO34" s="1442"/>
      <c r="AP34" s="1442"/>
      <c r="AQ34" s="1442"/>
      <c r="AR34" s="1442"/>
      <c r="AS34" s="1442"/>
      <c r="AT34" s="1442"/>
      <c r="AU34" s="1442"/>
      <c r="AV34" s="1442"/>
      <c r="AW34" s="1442"/>
      <c r="AX34" s="1442"/>
      <c r="AY34" s="1442"/>
      <c r="AZ34" s="1442"/>
      <c r="BA34" s="1442"/>
      <c r="BB34" s="1442"/>
      <c r="BC34" s="1442"/>
      <c r="BD34" s="1442"/>
      <c r="BE34" s="1442"/>
      <c r="BF34" s="1442"/>
      <c r="BG34" s="1442"/>
      <c r="BH34" s="1442"/>
      <c r="BI34" s="1442"/>
      <c r="BJ34" s="1442"/>
      <c r="BK34" s="1442"/>
      <c r="BL34" s="1442"/>
    </row>
    <row r="35" spans="4:64" ht="14.25" customHeight="1">
      <c r="D35" s="16063" t="s">
        <v>117</v>
      </c>
      <c r="E35" s="16059" t="s">
        <v>430</v>
      </c>
      <c r="F35" s="16059" t="s">
        <v>435</v>
      </c>
      <c r="G35" s="16044" t="s">
        <v>56</v>
      </c>
      <c r="H35" s="1467"/>
      <c r="I35" s="16061"/>
      <c r="J35" s="16017"/>
      <c r="K35" s="1385"/>
      <c r="L35" s="16002"/>
      <c r="M35" s="16002"/>
      <c r="N35" s="1452"/>
      <c r="O35" s="16002"/>
      <c r="P35" s="16017"/>
      <c r="Q35" s="1453"/>
      <c r="R35" s="16002"/>
      <c r="S35" s="16002"/>
      <c r="T35" s="1454"/>
      <c r="U35" s="16002"/>
      <c r="V35" s="16017"/>
      <c r="W35" s="1455"/>
      <c r="X35" s="16002"/>
      <c r="Y35" s="16002"/>
      <c r="Z35" s="1452"/>
      <c r="AA35" s="16002"/>
      <c r="AB35" s="16017"/>
      <c r="AC35" s="1456"/>
      <c r="AD35" s="16002"/>
      <c r="AE35" s="16002"/>
      <c r="AF35" s="1384"/>
      <c r="AG35" s="1384"/>
      <c r="AH35" s="1457"/>
      <c r="AI35" s="1176"/>
      <c r="AJ35" s="1442"/>
    </row>
    <row r="36" spans="4:64" ht="14.25" customHeight="1">
      <c r="D36" s="16063"/>
      <c r="E36" s="16059"/>
      <c r="F36" s="16059"/>
      <c r="G36" s="16045"/>
      <c r="H36" s="1468"/>
      <c r="I36" s="16062"/>
      <c r="J36" s="16018"/>
      <c r="K36" s="1451"/>
      <c r="L36" s="16003"/>
      <c r="M36" s="16003"/>
      <c r="N36" s="1458"/>
      <c r="O36" s="16003"/>
      <c r="P36" s="16018"/>
      <c r="Q36" s="1459"/>
      <c r="R36" s="16003"/>
      <c r="S36" s="16003"/>
      <c r="T36" s="1460"/>
      <c r="U36" s="16003"/>
      <c r="V36" s="16018"/>
      <c r="W36" s="1461"/>
      <c r="X36" s="16003"/>
      <c r="Y36" s="16003"/>
      <c r="Z36" s="1458"/>
      <c r="AA36" s="16003"/>
      <c r="AB36" s="16018"/>
      <c r="AC36" s="1462"/>
      <c r="AD36" s="16003"/>
      <c r="AE36" s="16003"/>
      <c r="AF36" s="1463"/>
      <c r="AG36" s="1463"/>
      <c r="AH36" s="16057"/>
      <c r="AI36" s="16058"/>
      <c r="AJ36" s="1442"/>
    </row>
    <row r="37" spans="4:64" ht="14.25" customHeight="1">
      <c r="D37" s="16063"/>
      <c r="E37" s="16059"/>
      <c r="F37" s="16059"/>
      <c r="G37" s="16045"/>
      <c r="H37" s="1468"/>
      <c r="I37" s="16062"/>
      <c r="J37" s="16018"/>
      <c r="K37" s="1451"/>
      <c r="L37" s="16003"/>
      <c r="M37" s="16003"/>
      <c r="N37" s="1458"/>
      <c r="O37" s="16003"/>
      <c r="P37" s="16018"/>
      <c r="Q37" s="1459"/>
      <c r="R37" s="16003"/>
      <c r="S37" s="16003"/>
      <c r="T37" s="1460"/>
      <c r="U37" s="16003"/>
      <c r="V37" s="16018"/>
      <c r="W37" s="1461"/>
      <c r="X37" s="16003"/>
      <c r="Y37" s="16003"/>
      <c r="Z37" s="1383"/>
      <c r="AA37" s="1463"/>
      <c r="AB37" s="16057"/>
      <c r="AC37" s="16057"/>
      <c r="AD37" s="16057"/>
      <c r="AE37" s="16057"/>
      <c r="AF37" s="16057"/>
      <c r="AG37" s="16057"/>
      <c r="AH37" s="16057"/>
      <c r="AI37" s="16058"/>
      <c r="AJ37" s="1442"/>
    </row>
    <row r="38" spans="4:64" ht="14.25" customHeight="1">
      <c r="D38" s="16063"/>
      <c r="E38" s="16059"/>
      <c r="F38" s="16059"/>
      <c r="G38" s="16045"/>
      <c r="H38" s="1468"/>
      <c r="I38" s="16062"/>
      <c r="J38" s="16018"/>
      <c r="K38" s="1451"/>
      <c r="L38" s="16003"/>
      <c r="M38" s="16003"/>
      <c r="N38" s="1458"/>
      <c r="O38" s="16003"/>
      <c r="P38" s="16018"/>
      <c r="Q38" s="1459"/>
      <c r="R38" s="16003"/>
      <c r="S38" s="16003"/>
      <c r="T38" s="1464"/>
      <c r="U38" s="1465"/>
      <c r="V38" s="16057"/>
      <c r="W38" s="16057"/>
      <c r="X38" s="16057"/>
      <c r="Y38" s="16057"/>
      <c r="Z38" s="16057"/>
      <c r="AA38" s="16057"/>
      <c r="AB38" s="16057"/>
      <c r="AC38" s="16057"/>
      <c r="AD38" s="16057"/>
      <c r="AE38" s="16057"/>
      <c r="AF38" s="16057"/>
      <c r="AG38" s="16057"/>
      <c r="AH38" s="16057"/>
      <c r="AI38" s="16058"/>
      <c r="AJ38" s="1442"/>
    </row>
    <row r="39" spans="4:64" ht="11.25" customHeight="1">
      <c r="D39" s="16063"/>
      <c r="E39" s="16059"/>
      <c r="F39" s="16059"/>
      <c r="G39" s="16045"/>
      <c r="H39" s="1469"/>
      <c r="I39" s="16062"/>
      <c r="J39" s="16018"/>
      <c r="K39" s="1451"/>
      <c r="L39" s="16003"/>
      <c r="M39" s="16003"/>
      <c r="N39" s="1463"/>
      <c r="O39" s="1463"/>
      <c r="P39" s="16057"/>
      <c r="Q39" s="16057"/>
      <c r="R39" s="16057"/>
      <c r="S39" s="16057"/>
      <c r="T39" s="16057"/>
      <c r="U39" s="16057"/>
      <c r="V39" s="16057"/>
      <c r="W39" s="16057"/>
      <c r="X39" s="16057"/>
      <c r="Y39" s="16057"/>
      <c r="Z39" s="16057"/>
      <c r="AA39" s="16057"/>
      <c r="AB39" s="16057"/>
      <c r="AC39" s="16057"/>
      <c r="AD39" s="16057"/>
      <c r="AE39" s="16057"/>
      <c r="AF39" s="16057"/>
      <c r="AG39" s="16057"/>
      <c r="AH39" s="16057"/>
      <c r="AI39" s="16058"/>
      <c r="AJ39" s="1442"/>
    </row>
    <row r="40" spans="4:64" s="14393" customFormat="1" ht="11.25" customHeight="1">
      <c r="D40" s="16063"/>
      <c r="E40" s="16059"/>
      <c r="F40" s="16064"/>
      <c r="G40" s="15978"/>
      <c r="H40" s="1466"/>
      <c r="I40" s="1470"/>
      <c r="J40" s="16065"/>
      <c r="K40" s="16065"/>
      <c r="L40" s="16065"/>
      <c r="M40" s="16065"/>
      <c r="N40" s="16065"/>
      <c r="O40" s="16065"/>
      <c r="P40" s="16065"/>
      <c r="Q40" s="16065"/>
      <c r="R40" s="16065"/>
      <c r="S40" s="16065"/>
      <c r="T40" s="16065"/>
      <c r="U40" s="16065"/>
      <c r="V40" s="16065"/>
      <c r="W40" s="16065"/>
      <c r="X40" s="16065"/>
      <c r="Y40" s="16065"/>
      <c r="Z40" s="16065"/>
      <c r="AA40" s="16065"/>
      <c r="AB40" s="16065"/>
      <c r="AC40" s="16065"/>
      <c r="AD40" s="16065"/>
      <c r="AE40" s="16065"/>
      <c r="AF40" s="16065"/>
      <c r="AG40" s="16065"/>
      <c r="AH40" s="16065"/>
      <c r="AI40" s="16066"/>
      <c r="AJ40" s="1442"/>
      <c r="AK40" s="223"/>
      <c r="AL40" s="1442"/>
      <c r="AM40" s="1442"/>
      <c r="AN40" s="1442"/>
      <c r="AO40" s="1442"/>
      <c r="AP40" s="1442"/>
      <c r="AQ40" s="1442"/>
      <c r="AR40" s="1442"/>
      <c r="AS40" s="1442"/>
      <c r="AT40" s="1442"/>
      <c r="AU40" s="1442"/>
      <c r="AV40" s="1442"/>
      <c r="AW40" s="1442"/>
      <c r="AX40" s="1442"/>
      <c r="AY40" s="1442"/>
      <c r="AZ40" s="1442"/>
      <c r="BA40" s="1442"/>
      <c r="BB40" s="1442"/>
      <c r="BC40" s="1442"/>
      <c r="BD40" s="1442"/>
      <c r="BE40" s="1442"/>
      <c r="BF40" s="1442"/>
      <c r="BG40" s="1442"/>
      <c r="BH40" s="1442"/>
      <c r="BI40" s="1442"/>
      <c r="BJ40" s="1442"/>
      <c r="BK40" s="1442"/>
      <c r="BL40" s="1442"/>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14400" hidden="1" customWidth="1"/>
    <col min="2" max="2" width="15" style="14398" hidden="1" customWidth="1"/>
    <col min="3" max="3" width="3.7109375" style="14401" customWidth="1"/>
    <col min="4" max="4" width="6.85546875" style="14402" customWidth="1"/>
    <col min="5" max="5" width="52.28515625" style="14401" customWidth="1"/>
    <col min="6" max="6" width="48.85546875" style="14401" customWidth="1"/>
    <col min="7" max="7" width="121.7109375" style="14401" customWidth="1"/>
    <col min="8" max="8" width="9.140625" style="14401"/>
    <col min="9" max="9" width="65" style="14401" customWidth="1"/>
  </cols>
  <sheetData>
    <row r="1" spans="1:9" ht="11.25" hidden="1" customHeight="1">
      <c r="A1" s="1549" t="s">
        <v>436</v>
      </c>
    </row>
    <row r="2" spans="1:9" ht="11.25" hidden="1" customHeight="1"/>
    <row r="3" spans="1:9" s="14397" customFormat="1" ht="11.25" customHeight="1">
      <c r="A3" s="1549"/>
      <c r="B3" s="408"/>
      <c r="D3" s="385"/>
    </row>
    <row r="4" spans="1:9" ht="25.5" customHeight="1">
      <c r="D4" s="16022" t="str">
        <f>ORG_INFO_NAME_FORM</f>
        <v>Форма 1. Информация об организации, осуществляющей горячее водоснабжение (общая информация)</v>
      </c>
      <c r="E4" s="16023"/>
      <c r="F4" s="16024"/>
      <c r="I4" s="615"/>
    </row>
    <row r="5" spans="1:9" ht="17.25" customHeight="1">
      <c r="D5" s="16056" t="str">
        <f>IF(org=0,"Не определено",org)</f>
        <v>АО "Мурманэнергосбыт"</v>
      </c>
      <c r="E5" s="16056"/>
      <c r="F5" s="16056"/>
      <c r="I5" s="615"/>
    </row>
    <row r="6" spans="1:9" s="14397" customFormat="1" ht="11.25" customHeight="1">
      <c r="A6" s="1549"/>
      <c r="B6" s="408"/>
      <c r="D6" s="614"/>
      <c r="E6" s="614"/>
      <c r="F6" s="650"/>
      <c r="G6" s="614"/>
    </row>
    <row r="7" spans="1:9" ht="11.25" hidden="1" customHeight="1">
      <c r="A7" s="366"/>
      <c r="B7" s="409"/>
      <c r="C7" s="366"/>
      <c r="D7" s="371"/>
      <c r="E7" s="16082"/>
      <c r="F7" s="16082"/>
    </row>
    <row r="8" spans="1:9" ht="11.25" customHeight="1">
      <c r="A8" s="366"/>
      <c r="B8" s="409"/>
      <c r="C8" s="366"/>
      <c r="D8" s="16079" t="s">
        <v>437</v>
      </c>
      <c r="E8" s="16080"/>
      <c r="F8" s="16080"/>
      <c r="G8" s="16083" t="s">
        <v>438</v>
      </c>
    </row>
    <row r="9" spans="1:9" ht="11.25" customHeight="1">
      <c r="A9" s="366"/>
      <c r="B9" s="409"/>
      <c r="C9" s="366"/>
      <c r="D9" s="380" t="s">
        <v>87</v>
      </c>
      <c r="E9" s="359" t="s">
        <v>439</v>
      </c>
      <c r="F9" s="359" t="s">
        <v>440</v>
      </c>
      <c r="G9" s="16084"/>
    </row>
    <row r="10" spans="1:9" ht="12" hidden="1" customHeight="1">
      <c r="A10" s="366"/>
      <c r="B10" s="409"/>
      <c r="C10" s="366"/>
      <c r="D10" s="372"/>
      <c r="E10" s="372"/>
      <c r="F10" s="372"/>
      <c r="G10" s="372"/>
    </row>
    <row r="11" spans="1:9" ht="22.5" hidden="1" customHeight="1">
      <c r="A11" s="366"/>
      <c r="B11" s="409"/>
      <c r="C11" s="366"/>
      <c r="D11" s="897" t="s">
        <v>147</v>
      </c>
      <c r="E11" s="900" t="s">
        <v>441</v>
      </c>
      <c r="F11" s="899" t="str">
        <f>IF(region_name="","",region_name)</f>
        <v>Мурманская область</v>
      </c>
      <c r="G11" s="900" t="s">
        <v>442</v>
      </c>
      <c r="H11" s="383"/>
    </row>
    <row r="12" spans="1:9" ht="22.5" hidden="1" customHeight="1">
      <c r="A12" s="366"/>
      <c r="B12" s="409"/>
      <c r="C12" s="366"/>
      <c r="D12" s="358" t="s">
        <v>147</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443</v>
      </c>
      <c r="G12" s="382"/>
      <c r="H12" s="383"/>
    </row>
    <row r="13" spans="1:9" ht="22.5" customHeight="1">
      <c r="A13" s="366"/>
      <c r="B13" s="409"/>
      <c r="C13" s="366"/>
      <c r="D13" s="358" t="s">
        <v>147</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444</v>
      </c>
      <c r="E14" s="898" t="s">
        <v>445</v>
      </c>
      <c r="F14" s="899" t="str">
        <f>IF(inn="","",inn)</f>
        <v>5190907139</v>
      </c>
      <c r="G14" s="900" t="s">
        <v>446</v>
      </c>
      <c r="H14" s="383"/>
    </row>
    <row r="15" spans="1:9" ht="22.5" hidden="1" customHeight="1">
      <c r="A15" s="366"/>
      <c r="B15" s="409"/>
      <c r="C15" s="366"/>
      <c r="D15" s="897" t="s">
        <v>447</v>
      </c>
      <c r="E15" s="898" t="s">
        <v>448</v>
      </c>
      <c r="F15" s="899" t="str">
        <f>IF(kpp="","",kpp)</f>
        <v>519001001</v>
      </c>
      <c r="G15" s="900" t="s">
        <v>449</v>
      </c>
      <c r="H15" s="383"/>
    </row>
    <row r="16" spans="1:9" ht="36.75" customHeight="1">
      <c r="A16" s="366"/>
      <c r="B16" s="409"/>
      <c r="C16" s="366"/>
      <c r="D16" s="358" t="s">
        <v>102</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89</v>
      </c>
      <c r="E17" s="355" t="str">
        <f>"Дата присвоения ОГРН"&amp;IF(TEMPLATE_SPHERE="TKO",""," (ОГРНИП)")</f>
        <v>Дата присвоения ОГРН (ОГРНИП)</v>
      </c>
      <c r="F17" s="1594" t="s">
        <v>24</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90</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16077" t="s">
        <v>450</v>
      </c>
      <c r="B19" s="409"/>
      <c r="C19" s="16088"/>
      <c r="D19" s="358" t="str">
        <f>A19</f>
        <v>5.1</v>
      </c>
      <c r="E19" s="355" t="s">
        <v>451</v>
      </c>
      <c r="F19" s="356" t="s">
        <v>443</v>
      </c>
      <c r="G19" s="357" t="s">
        <v>452</v>
      </c>
      <c r="H19" s="383"/>
      <c r="I19" s="746"/>
    </row>
    <row r="20" spans="1:9" ht="24" hidden="1" customHeight="1">
      <c r="A20" s="16077"/>
      <c r="B20" s="409"/>
      <c r="C20" s="16088"/>
      <c r="D20" s="353" t="str">
        <f>D19&amp;".1"</f>
        <v>5.1.1</v>
      </c>
      <c r="E20" s="352" t="s">
        <v>453</v>
      </c>
      <c r="F20" s="775" t="s">
        <v>24</v>
      </c>
      <c r="G20" s="382"/>
      <c r="H20" s="383"/>
      <c r="I20" s="746"/>
    </row>
    <row r="21" spans="1:9" ht="22.5" hidden="1" customHeight="1">
      <c r="A21" s="16077"/>
      <c r="B21" s="409"/>
      <c r="C21" s="16088"/>
      <c r="D21" s="353" t="str">
        <f>D19&amp;".2"</f>
        <v>5.1.2</v>
      </c>
      <c r="E21" s="352" t="s">
        <v>454</v>
      </c>
      <c r="F21" s="1595" t="s">
        <v>24</v>
      </c>
      <c r="G21" s="357" t="s">
        <v>455</v>
      </c>
      <c r="H21" s="383"/>
      <c r="I21" s="746"/>
    </row>
    <row r="22" spans="1:9" ht="22.5" hidden="1" customHeight="1">
      <c r="A22" s="16077"/>
      <c r="B22" s="409"/>
      <c r="C22" s="16088"/>
      <c r="D22" s="353" t="str">
        <f>D19&amp;".3"</f>
        <v>5.1.3</v>
      </c>
      <c r="E22" s="352" t="s">
        <v>456</v>
      </c>
      <c r="F22" s="775" t="s">
        <v>24</v>
      </c>
      <c r="G22" s="382"/>
      <c r="H22" s="383"/>
      <c r="I22" s="746"/>
    </row>
    <row r="23" spans="1:9" ht="22.5" hidden="1" customHeight="1">
      <c r="A23" s="16077"/>
      <c r="B23" s="409"/>
      <c r="C23" s="16088"/>
      <c r="D23" s="353" t="str">
        <f>D19&amp;".4"</f>
        <v>5.1.4</v>
      </c>
      <c r="E23" s="352" t="s">
        <v>457</v>
      </c>
      <c r="F23" s="775" t="s">
        <v>24</v>
      </c>
      <c r="G23" s="357" t="s">
        <v>458</v>
      </c>
      <c r="H23" s="383"/>
      <c r="I23" s="746"/>
    </row>
    <row r="24" spans="1:9" ht="22.5" hidden="1" customHeight="1">
      <c r="A24" s="1839"/>
      <c r="B24" s="409"/>
      <c r="C24" s="399"/>
      <c r="D24" s="375"/>
      <c r="E24" s="1049" t="s">
        <v>459</v>
      </c>
      <c r="F24" s="376"/>
      <c r="G24" s="377"/>
      <c r="H24" s="383"/>
      <c r="I24" s="746"/>
    </row>
    <row r="25" spans="1:9" s="14398" customFormat="1" ht="24.75" hidden="1" customHeight="1">
      <c r="A25" s="366"/>
      <c r="B25" s="409"/>
      <c r="C25" s="409"/>
      <c r="D25" s="894" t="s">
        <v>89</v>
      </c>
      <c r="E25" s="896" t="s">
        <v>460</v>
      </c>
      <c r="F25" s="901" t="s">
        <v>443</v>
      </c>
      <c r="G25" s="896"/>
    </row>
    <row r="26" spans="1:9" s="14398" customFormat="1" ht="11.25" hidden="1" customHeight="1">
      <c r="A26" s="366"/>
      <c r="B26" s="409"/>
      <c r="C26" s="409"/>
      <c r="D26" s="894" t="s">
        <v>461</v>
      </c>
      <c r="E26" s="895" t="s">
        <v>462</v>
      </c>
      <c r="F26" s="901" t="s">
        <v>443</v>
      </c>
      <c r="G26" s="896"/>
    </row>
    <row r="27" spans="1:9" s="14398" customFormat="1" ht="11.25" hidden="1" customHeight="1">
      <c r="A27" s="366"/>
      <c r="B27" s="409"/>
      <c r="C27" s="409"/>
      <c r="D27" s="894" t="s">
        <v>463</v>
      </c>
      <c r="E27" s="902" t="s">
        <v>464</v>
      </c>
      <c r="F27" s="903"/>
      <c r="G27"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4398" customFormat="1" ht="11.25" hidden="1" customHeight="1">
      <c r="A28" s="366"/>
      <c r="B28" s="409"/>
      <c r="C28" s="409"/>
      <c r="D28" s="894" t="s">
        <v>465</v>
      </c>
      <c r="E28" s="902" t="s">
        <v>466</v>
      </c>
      <c r="F28" s="903"/>
      <c r="G28"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9" spans="1:9" s="14398" customFormat="1" ht="11.25" hidden="1" customHeight="1">
      <c r="A29" s="366"/>
      <c r="B29" s="409"/>
      <c r="C29" s="409"/>
      <c r="D29" s="894" t="s">
        <v>467</v>
      </c>
      <c r="E29" s="902" t="s">
        <v>468</v>
      </c>
      <c r="F29" s="903"/>
      <c r="G29"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30" spans="1:9" s="14398" customFormat="1" ht="11.25" hidden="1" customHeight="1">
      <c r="A30" s="366"/>
      <c r="B30" s="409"/>
      <c r="C30" s="409"/>
      <c r="D30" s="894" t="s">
        <v>469</v>
      </c>
      <c r="E30" s="895" t="s">
        <v>470</v>
      </c>
      <c r="F30" s="903"/>
      <c r="G30" s="896"/>
    </row>
    <row r="31" spans="1:9" s="14398" customFormat="1" ht="11.25" hidden="1" customHeight="1">
      <c r="A31" s="366"/>
      <c r="B31" s="409"/>
      <c r="C31" s="409"/>
      <c r="D31" s="894" t="s">
        <v>471</v>
      </c>
      <c r="E31" s="895" t="s">
        <v>472</v>
      </c>
      <c r="F31" s="903"/>
      <c r="G31" s="896"/>
    </row>
    <row r="32" spans="1:9" s="14398" customFormat="1" ht="11.25" hidden="1" customHeight="1">
      <c r="A32" s="366"/>
      <c r="B32" s="409"/>
      <c r="C32" s="409"/>
      <c r="D32" s="894" t="s">
        <v>473</v>
      </c>
      <c r="E32" s="895" t="s">
        <v>474</v>
      </c>
      <c r="F32" s="904"/>
      <c r="G32" s="896"/>
    </row>
    <row r="33" spans="1:8" ht="22.5" customHeight="1">
      <c r="A33" s="366" t="str">
        <f>IF(TEMPLATE_SPHERE="HEAT","6","5")</f>
        <v>5</v>
      </c>
      <c r="B33" s="409"/>
      <c r="C33" s="366"/>
      <c r="D33" s="353" t="str">
        <f>A33</f>
        <v>5</v>
      </c>
      <c r="E33"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56" t="s">
        <v>443</v>
      </c>
      <c r="G33" s="382"/>
      <c r="H33" s="383"/>
    </row>
    <row r="34" spans="1:8" ht="22.5" customHeight="1">
      <c r="A34" s="366"/>
      <c r="B34" s="409"/>
      <c r="C34" s="366"/>
      <c r="D34" s="353" t="str">
        <f>D33&amp;".1"</f>
        <v>5.1</v>
      </c>
      <c r="E34" s="355" t="str">
        <f>"фамилия"&amp;IF(TEMPLATE_SPHERE&lt;&gt;"HEAT"," руководителя","")</f>
        <v>фамилия руководителя</v>
      </c>
      <c r="F34" s="354"/>
      <c r="G34"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D33&amp;".2"</f>
        <v>5.2</v>
      </c>
      <c r="E35" s="355" t="str">
        <f>"имя"&amp;IF(TEMPLATE_SPHERE&lt;&gt;"HEAT"," руководителя","")</f>
        <v>имя руководителя</v>
      </c>
      <c r="F35" s="354"/>
      <c r="G35"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83"/>
    </row>
    <row r="36" spans="1:8" ht="22.5" customHeight="1">
      <c r="A36" s="366"/>
      <c r="B36" s="409"/>
      <c r="C36" s="366"/>
      <c r="D36" s="353" t="str">
        <f>D33&amp;".3"</f>
        <v>5.3</v>
      </c>
      <c r="E36" s="355" t="str">
        <f>"отчество"&amp;IF(TEMPLATE_SPHERE&lt;&gt;"HEAT"," руководителя","")</f>
        <v>отчество руководителя</v>
      </c>
      <c r="F36" s="599"/>
      <c r="G36"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83"/>
    </row>
    <row r="37" spans="1:8" ht="33.75" customHeight="1">
      <c r="A37" s="366"/>
      <c r="B37" s="409"/>
      <c r="C37" s="366"/>
      <c r="D37" s="353">
        <f>D33+1</f>
        <v>6</v>
      </c>
      <c r="E37"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54"/>
      <c r="G37" s="357" t="s">
        <v>475</v>
      </c>
      <c r="H37" s="383"/>
    </row>
    <row r="38" spans="1:8" ht="33.75" customHeight="1">
      <c r="A38" s="366"/>
      <c r="B38" s="409"/>
      <c r="C38" s="366"/>
      <c r="D38" s="353">
        <f>D37+1</f>
        <v>7</v>
      </c>
      <c r="E38"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54"/>
      <c r="G38" s="357" t="s">
        <v>475</v>
      </c>
      <c r="H38" s="383"/>
    </row>
    <row r="39" spans="1:8" ht="22.5" customHeight="1">
      <c r="A39" s="366"/>
      <c r="B39" s="409"/>
      <c r="C39" s="366"/>
      <c r="D39" s="353">
        <f>D38+1</f>
        <v>8</v>
      </c>
      <c r="E39"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56" t="s">
        <v>443</v>
      </c>
      <c r="G39" s="1608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3"/>
    </row>
    <row r="40" spans="1:8" ht="22.5" hidden="1" customHeight="1">
      <c r="A40" s="366"/>
      <c r="B40" s="409"/>
      <c r="C40" s="366"/>
      <c r="D40" s="353" t="str">
        <f>D39&amp;".0"</f>
        <v>8.0</v>
      </c>
      <c r="E40" s="1473"/>
      <c r="F40" s="775"/>
      <c r="G40" s="16086"/>
      <c r="H40" s="383"/>
    </row>
    <row r="41" spans="1:8" ht="22.5" customHeight="1">
      <c r="A41" s="366"/>
      <c r="B41" s="366"/>
      <c r="C41" s="1551"/>
      <c r="D41" s="353" t="str">
        <f>D39&amp;".1"</f>
        <v>8.1</v>
      </c>
      <c r="E41" s="754"/>
      <c r="F41" s="755"/>
      <c r="G41" s="16086"/>
      <c r="H41" s="383"/>
    </row>
    <row r="42" spans="1:8" ht="15" customHeight="1">
      <c r="A42" s="366"/>
      <c r="B42" s="409"/>
      <c r="C42" s="366"/>
      <c r="D42" s="375"/>
      <c r="E42" s="330" t="s">
        <v>476</v>
      </c>
      <c r="F42" s="377"/>
      <c r="G42" s="16087"/>
      <c r="H42" s="384"/>
    </row>
    <row r="43" spans="1:8" ht="25.5" customHeight="1">
      <c r="A43" s="366"/>
      <c r="B43" s="409"/>
      <c r="C43" s="366"/>
      <c r="D43" s="353">
        <f>D39+1</f>
        <v>9</v>
      </c>
      <c r="E43"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56"/>
      <c r="G43"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3"/>
    </row>
    <row r="44" spans="1:8" ht="22.5" customHeight="1">
      <c r="A44" s="366"/>
      <c r="B44" s="409"/>
      <c r="C44" s="366"/>
      <c r="D44" s="353">
        <f>D43+1</f>
        <v>10</v>
      </c>
      <c r="E44"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93"/>
      <c r="G44" s="382" t="s">
        <v>477</v>
      </c>
      <c r="H44" s="383"/>
    </row>
    <row r="45" spans="1:8" ht="22.5" customHeight="1">
      <c r="A45" s="366"/>
      <c r="B45" s="409"/>
      <c r="C45" s="366"/>
      <c r="D45" s="353">
        <f>D44+1</f>
        <v>11</v>
      </c>
      <c r="E45" s="351" t="s">
        <v>478</v>
      </c>
      <c r="F45" s="356" t="s">
        <v>443</v>
      </c>
      <c r="G45" s="350" t="str">
        <f>IF(TEMPLATE_SPHERE="TKO","Указывается режим работы организации.","")</f>
        <v/>
      </c>
      <c r="H45" s="383"/>
    </row>
    <row r="46" spans="1:8" ht="22.5" customHeight="1">
      <c r="A46" s="366"/>
      <c r="B46" s="409"/>
      <c r="C46" s="366"/>
      <c r="D46" s="353" t="str">
        <f>D45&amp;".1"</f>
        <v>11.1</v>
      </c>
      <c r="E46" s="355" t="str">
        <f>"режим работы регулируемой организации"&amp;IF(TEMPLATE_SPHERE="HEAT",", ЕТО, ТО","")</f>
        <v>режим работы регулируемой организации</v>
      </c>
      <c r="F46" s="1547"/>
      <c r="G46" s="350" t="s">
        <v>479</v>
      </c>
      <c r="H46" s="383"/>
    </row>
    <row r="47" spans="1:8" ht="22.5" customHeight="1">
      <c r="A47" s="16077"/>
      <c r="B47" s="409"/>
      <c r="C47" s="399"/>
      <c r="D47" s="353" t="str">
        <f>D45&amp;".2"</f>
        <v>11.2</v>
      </c>
      <c r="E47" s="355" t="s">
        <v>480</v>
      </c>
      <c r="F47" s="397"/>
      <c r="G47" s="350" t="s">
        <v>481</v>
      </c>
      <c r="H47" s="383"/>
    </row>
    <row r="48" spans="1:8" ht="22.5" customHeight="1">
      <c r="A48" s="16077"/>
      <c r="B48" s="409"/>
      <c r="C48" s="399"/>
      <c r="D48" s="353" t="str">
        <f>D45&amp;".3"</f>
        <v>11.3</v>
      </c>
      <c r="E48" s="355" t="s">
        <v>482</v>
      </c>
      <c r="F48" s="397"/>
      <c r="G48" s="350" t="s">
        <v>483</v>
      </c>
      <c r="H48" s="383"/>
    </row>
    <row r="49" spans="1:9" ht="22.5" customHeight="1">
      <c r="A49" s="16077"/>
      <c r="B49" s="409"/>
      <c r="C49" s="399"/>
      <c r="D49" s="353" t="str">
        <f>IF(TEMPLATE_SPHERE="TKO",D45&amp;".0",D45&amp;".4")</f>
        <v>11.4</v>
      </c>
      <c r="E49" s="349" t="s">
        <v>484</v>
      </c>
      <c r="F49" s="1548"/>
      <c r="G49" s="1624" t="s">
        <v>485</v>
      </c>
      <c r="H49" s="383"/>
    </row>
    <row r="50" spans="1:9" ht="22.5" customHeight="1">
      <c r="A50" s="366"/>
      <c r="B50" s="409"/>
      <c r="C50" s="366"/>
      <c r="D50" s="375"/>
      <c r="E50" s="330" t="s">
        <v>486</v>
      </c>
      <c r="F50" s="376"/>
      <c r="G50" s="1624" t="s">
        <v>487</v>
      </c>
      <c r="H50" s="384"/>
    </row>
    <row r="51" spans="1:9" ht="22.5" customHeight="1">
      <c r="A51" s="752"/>
      <c r="B51" s="409"/>
      <c r="C51" s="399"/>
      <c r="D51" s="353">
        <f>D45+1</f>
        <v>12</v>
      </c>
      <c r="E51" s="435" t="s">
        <v>488</v>
      </c>
      <c r="F51" s="397"/>
      <c r="G51" s="15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83"/>
    </row>
    <row r="52" spans="1:9" ht="11.25" customHeight="1">
      <c r="A52" s="366"/>
      <c r="B52" s="409"/>
      <c r="C52" s="366"/>
    </row>
    <row r="53" spans="1:9" s="14399" customFormat="1" ht="30" customHeight="1">
      <c r="A53" s="1550"/>
      <c r="B53" s="410"/>
      <c r="C53" s="16078"/>
      <c r="D53" s="1608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6081"/>
      <c r="F53" s="16081"/>
      <c r="G53" s="16081"/>
      <c r="H53" s="365"/>
      <c r="I53" s="365"/>
    </row>
    <row r="54" spans="1:9" s="14399" customFormat="1" ht="39.75" customHeight="1">
      <c r="A54" s="366"/>
      <c r="B54" s="409"/>
      <c r="C54" s="16078"/>
      <c r="D54" s="1608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16081"/>
      <c r="F54" s="16081"/>
      <c r="G54" s="16081"/>
    </row>
    <row r="55" spans="1:9" ht="11.25" customHeight="1">
      <c r="D55" s="367"/>
      <c r="E55" s="368"/>
      <c r="F55" s="368"/>
      <c r="G55" s="368"/>
    </row>
    <row r="56" spans="1:9" ht="27" customHeight="1">
      <c r="D56" s="369"/>
      <c r="E56" s="367"/>
      <c r="F56" s="378"/>
      <c r="G56" s="378"/>
    </row>
    <row r="57" spans="1:9" ht="11.25" customHeight="1">
      <c r="D57" s="367"/>
      <c r="E57" s="367"/>
      <c r="F57" s="368"/>
      <c r="G57" s="368"/>
    </row>
    <row r="58" spans="1:9" ht="39" customHeight="1">
      <c r="D58" s="370"/>
      <c r="E58" s="379"/>
      <c r="F58" s="379"/>
      <c r="G58" s="379"/>
    </row>
    <row r="59" spans="1:9" ht="27" customHeight="1">
      <c r="D59" s="370"/>
      <c r="E59" s="379"/>
      <c r="F59" s="379"/>
      <c r="G59" s="379"/>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4406" hidden="1" customWidth="1"/>
    <col min="2" max="2" width="9.140625" style="14407" hidden="1" customWidth="1"/>
    <col min="3" max="3" width="3.7109375" style="14408" customWidth="1"/>
    <col min="4" max="4" width="5.5703125" style="14407" customWidth="1"/>
    <col min="5" max="5" width="48.42578125" style="14407" customWidth="1"/>
    <col min="6" max="6" width="38.140625" style="14407" customWidth="1"/>
    <col min="7" max="7" width="1.7109375" style="14361" hidden="1" customWidth="1"/>
    <col min="8" max="11" width="19.85546875" style="14407" hidden="1" customWidth="1"/>
    <col min="12" max="12" width="9.7109375" style="14407" hidden="1" customWidth="1"/>
    <col min="13" max="18" width="19.85546875" style="14407" hidden="1" customWidth="1"/>
    <col min="19" max="19" width="1.7109375" style="14361" hidden="1" customWidth="1"/>
    <col min="20" max="22" width="19.85546875" style="14409" hidden="1" customWidth="1"/>
    <col min="23" max="23" width="1.7109375" style="14361" hidden="1" customWidth="1"/>
    <col min="24" max="26" width="19.85546875" style="14409" hidden="1" customWidth="1"/>
    <col min="27" max="27" width="1.7109375" style="14361" hidden="1" customWidth="1"/>
    <col min="28" max="29" width="19.85546875" style="14409" customWidth="1"/>
    <col min="30" max="30" width="1.7109375" style="14361" hidden="1" customWidth="1"/>
    <col min="31" max="31" width="103.7109375" style="14407" hidden="1" customWidth="1"/>
    <col min="32" max="33" width="103.7109375" style="14409" hidden="1" customWidth="1"/>
    <col min="34" max="34" width="103.7109375" style="14409" customWidth="1"/>
    <col min="35" max="35" width="3.7109375" style="14410" customWidth="1"/>
    <col min="36" max="38" width="10.5703125" style="14411"/>
    <col min="39" max="39" width="13.7109375" style="14411" hidden="1" customWidth="1"/>
    <col min="40" max="40" width="15.42578125" style="14411" customWidth="1"/>
    <col min="41" max="41" width="16.28515625" style="14411" customWidth="1"/>
    <col min="42" max="45" width="10.5703125" style="14411"/>
  </cols>
  <sheetData>
    <row r="1" spans="1:45" ht="14.25" hidden="1" customHeight="1">
      <c r="E1" s="327"/>
      <c r="F1" s="327"/>
      <c r="G1" s="327"/>
      <c r="H1" s="15970" t="s">
        <v>489</v>
      </c>
      <c r="I1" s="15970"/>
      <c r="J1" s="15970"/>
      <c r="K1" s="15970"/>
      <c r="L1" s="15970"/>
      <c r="M1" s="15970"/>
      <c r="N1" s="15970"/>
      <c r="O1" s="15970"/>
      <c r="P1" s="15970"/>
      <c r="Q1" s="15970"/>
      <c r="R1" s="15970"/>
      <c r="T1" s="15970" t="s">
        <v>490</v>
      </c>
      <c r="U1" s="15970"/>
      <c r="V1" s="15970"/>
      <c r="X1" s="15970" t="s">
        <v>491</v>
      </c>
      <c r="Y1" s="15970"/>
      <c r="Z1" s="15970"/>
      <c r="AB1" s="15970" t="s">
        <v>492</v>
      </c>
      <c r="AC1" s="15970"/>
    </row>
    <row r="2" spans="1:45" ht="14.25" hidden="1" customHeight="1"/>
    <row r="3" spans="1:45" s="14403" customFormat="1" ht="6" customHeight="1">
      <c r="C3" s="601"/>
      <c r="D3" s="602"/>
      <c r="E3" s="602"/>
      <c r="F3" s="602"/>
      <c r="G3" s="602"/>
      <c r="H3" s="602" t="s">
        <v>493</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16022" t="str">
        <f>ORG_VD_NAME_FORM</f>
        <v>Форма 1. Информация об организации, осуществляющей горячее водоснабжение (общая информация)</v>
      </c>
      <c r="E4" s="16023"/>
      <c r="F4" s="16023"/>
      <c r="G4" s="16023"/>
      <c r="H4" s="16023"/>
      <c r="I4" s="16023"/>
      <c r="J4" s="16023"/>
      <c r="K4" s="16023"/>
      <c r="L4" s="16023"/>
      <c r="M4" s="16023"/>
      <c r="N4" s="16023"/>
      <c r="O4" s="16023"/>
      <c r="P4" s="16023"/>
      <c r="Q4" s="16023"/>
      <c r="R4" s="16024"/>
      <c r="S4" s="747"/>
      <c r="T4" s="600"/>
      <c r="U4" s="600"/>
      <c r="V4" s="600"/>
      <c r="W4" s="600"/>
      <c r="X4" s="600"/>
      <c r="Y4" s="600"/>
      <c r="Z4" s="600"/>
      <c r="AA4" s="600"/>
      <c r="AB4" s="600"/>
      <c r="AC4" s="600"/>
      <c r="AD4" s="600"/>
      <c r="AE4" s="398"/>
      <c r="AF4" s="398"/>
      <c r="AG4" s="398"/>
      <c r="AH4" s="398"/>
      <c r="AI4" s="395"/>
    </row>
    <row r="5" spans="1:45" s="14361" customFormat="1" ht="17.25" customHeight="1">
      <c r="A5" s="657"/>
      <c r="C5" s="720"/>
      <c r="D5" s="16089" t="str">
        <f>IF(org=0,"Не определено",org)</f>
        <v>АО "Мурманэнергосбыт"</v>
      </c>
      <c r="E5" s="16090"/>
      <c r="F5" s="16090"/>
      <c r="G5" s="16090"/>
      <c r="H5" s="16090"/>
      <c r="I5" s="16090"/>
      <c r="J5" s="16090"/>
      <c r="K5" s="16090"/>
      <c r="L5" s="16090"/>
      <c r="M5" s="16090"/>
      <c r="N5" s="16090"/>
      <c r="O5" s="16090"/>
      <c r="P5" s="16090"/>
      <c r="Q5" s="16090"/>
      <c r="R5" s="16091"/>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4404"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16092" t="s">
        <v>437</v>
      </c>
      <c r="E7" s="16093"/>
      <c r="F7" s="16093"/>
      <c r="G7" s="16093"/>
      <c r="H7" s="16093"/>
      <c r="I7" s="16093"/>
      <c r="J7" s="16093"/>
      <c r="K7" s="16093"/>
      <c r="L7" s="16093"/>
      <c r="M7" s="16093"/>
      <c r="N7" s="16093"/>
      <c r="O7" s="16093"/>
      <c r="P7" s="16093"/>
      <c r="Q7" s="16093"/>
      <c r="R7" s="16093"/>
      <c r="S7" s="16093"/>
      <c r="T7" s="16093"/>
      <c r="U7" s="16093"/>
      <c r="V7" s="16093"/>
      <c r="W7" s="16093"/>
      <c r="X7" s="16093"/>
      <c r="Y7" s="16093"/>
      <c r="Z7" s="16093"/>
      <c r="AA7" s="16093"/>
      <c r="AB7" s="16093"/>
      <c r="AC7" s="16093"/>
      <c r="AD7" s="16094"/>
      <c r="AE7" s="16020" t="s">
        <v>438</v>
      </c>
      <c r="AF7" s="16020" t="s">
        <v>438</v>
      </c>
      <c r="AG7" s="16020" t="s">
        <v>438</v>
      </c>
      <c r="AH7" s="16020" t="s">
        <v>438</v>
      </c>
    </row>
    <row r="8" spans="1:45" ht="25.5" customHeight="1">
      <c r="C8" s="362"/>
      <c r="D8" s="15992" t="s">
        <v>87</v>
      </c>
      <c r="E8" s="16020" t="str">
        <f>"Наименование "&amp;IF(TEMPLATE_SPHERE&lt;&gt;"HEAT","централизованной ","")&amp;"системы "&amp;TEMPLATE_SPHERE_RUS</f>
        <v>Наименование централизованной системы горячего водоснабжения</v>
      </c>
      <c r="F8" s="16020" t="str">
        <f>IF(TEMPLATE_SPHERE&lt;&gt;"HEAT","Регулируемый вид деятельности","Вид регулируемой деятельности")</f>
        <v>Регулируемый вид деятельности</v>
      </c>
      <c r="G8" s="726"/>
      <c r="H8" s="16097" t="s">
        <v>494</v>
      </c>
      <c r="I8" s="16099" t="s">
        <v>495</v>
      </c>
      <c r="J8" s="16020" t="s">
        <v>496</v>
      </c>
      <c r="K8" s="16020"/>
      <c r="L8" s="16020"/>
      <c r="M8" s="16092"/>
      <c r="N8" s="16020" t="s">
        <v>497</v>
      </c>
      <c r="O8" s="16020"/>
      <c r="P8" s="16020" t="s">
        <v>498</v>
      </c>
      <c r="Q8" s="16020"/>
      <c r="R8" s="16101" t="s">
        <v>499</v>
      </c>
      <c r="S8" s="722"/>
      <c r="T8" s="16097" t="s">
        <v>500</v>
      </c>
      <c r="U8" s="16097" t="s">
        <v>501</v>
      </c>
      <c r="V8" s="16097" t="s">
        <v>502</v>
      </c>
      <c r="W8" s="724"/>
      <c r="X8" s="16097" t="s">
        <v>503</v>
      </c>
      <c r="Y8" s="16097" t="s">
        <v>504</v>
      </c>
      <c r="Z8" s="16097" t="s">
        <v>505</v>
      </c>
      <c r="AA8" s="724"/>
      <c r="AB8" s="16097" t="s">
        <v>506</v>
      </c>
      <c r="AC8" s="16097" t="s">
        <v>499</v>
      </c>
      <c r="AD8" s="724"/>
      <c r="AE8" s="16020"/>
      <c r="AF8" s="16020"/>
      <c r="AG8" s="16020"/>
      <c r="AH8" s="16020"/>
    </row>
    <row r="9" spans="1:45" ht="43.5" customHeight="1">
      <c r="C9" s="362"/>
      <c r="D9" s="15992"/>
      <c r="E9" s="16020"/>
      <c r="F9" s="16020"/>
      <c r="G9" s="727"/>
      <c r="H9" s="16098"/>
      <c r="I9" s="16100"/>
      <c r="J9" s="339" t="s">
        <v>507</v>
      </c>
      <c r="K9" s="339" t="s">
        <v>508</v>
      </c>
      <c r="L9" s="339" t="s">
        <v>509</v>
      </c>
      <c r="M9" s="344" t="s">
        <v>510</v>
      </c>
      <c r="N9" s="339" t="s">
        <v>511</v>
      </c>
      <c r="O9" s="339" t="s">
        <v>510</v>
      </c>
      <c r="P9" s="339" t="s">
        <v>512</v>
      </c>
      <c r="Q9" s="339" t="s">
        <v>510</v>
      </c>
      <c r="R9" s="16102"/>
      <c r="S9" s="723"/>
      <c r="T9" s="16098"/>
      <c r="U9" s="16098"/>
      <c r="V9" s="16098"/>
      <c r="W9" s="725"/>
      <c r="X9" s="16098"/>
      <c r="Y9" s="16098"/>
      <c r="Z9" s="16098"/>
      <c r="AA9" s="725"/>
      <c r="AB9" s="16098"/>
      <c r="AC9" s="16098"/>
      <c r="AD9" s="725"/>
      <c r="AE9" s="16020"/>
      <c r="AF9" s="16020"/>
      <c r="AG9" s="16020"/>
      <c r="AH9" s="16020"/>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4405" customFormat="1" ht="11.25" hidden="1" customHeight="1">
      <c r="C11" s="405"/>
      <c r="D11" s="406" t="s">
        <v>513</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147</v>
      </c>
      <c r="E12" s="1639" t="s">
        <v>24</v>
      </c>
      <c r="F12" s="749"/>
      <c r="G12" s="750"/>
      <c r="H12" s="1640"/>
      <c r="I12" s="1640"/>
      <c r="J12" s="346"/>
      <c r="K12" s="1724"/>
      <c r="L12" s="345"/>
      <c r="M12" s="1724"/>
      <c r="N12" s="346"/>
      <c r="O12" s="1724"/>
      <c r="P12" s="346"/>
      <c r="Q12" s="1724"/>
      <c r="R12" s="346"/>
      <c r="S12" s="748"/>
      <c r="T12" s="1640"/>
      <c r="U12" s="346"/>
      <c r="V12" s="346"/>
      <c r="W12" s="725"/>
      <c r="X12" s="1640"/>
      <c r="Y12" s="346"/>
      <c r="Z12" s="346"/>
      <c r="AA12" s="725"/>
      <c r="AB12" s="1640"/>
      <c r="AC12" s="346"/>
      <c r="AD12" s="725"/>
      <c r="AE12" s="16095" t="s">
        <v>514</v>
      </c>
      <c r="AF12" s="16095" t="s">
        <v>515</v>
      </c>
      <c r="AG12" s="16095" t="s">
        <v>516</v>
      </c>
      <c r="AH12" s="16095" t="s">
        <v>517</v>
      </c>
      <c r="AI12" s="360"/>
      <c r="AM12" s="418"/>
      <c r="AP12" s="407" t="s">
        <v>518</v>
      </c>
      <c r="AQ12" s="407" t="s">
        <v>518</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16096"/>
      <c r="AF13" s="16096"/>
      <c r="AG13" s="16096"/>
      <c r="AH13" s="16096"/>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4415" hidden="1" customWidth="1"/>
    <col min="2" max="2" width="9.140625" style="14416" hidden="1" customWidth="1"/>
    <col min="3" max="3" width="3.7109375" style="14408" customWidth="1"/>
    <col min="4" max="4" width="5.5703125" style="14416" customWidth="1"/>
    <col min="5" max="5" width="38.140625" style="14416" customWidth="1"/>
    <col min="6" max="7" width="3.7109375" style="14416" customWidth="1"/>
    <col min="8" max="8" width="38.28515625" style="14416" customWidth="1"/>
    <col min="9" max="9" width="35.7109375" style="14416" customWidth="1"/>
    <col min="10" max="10" width="103.7109375" style="14416" customWidth="1"/>
    <col min="11" max="11" width="3.7109375" style="14394" customWidth="1"/>
    <col min="12" max="14" width="10.5703125" style="14417"/>
    <col min="15" max="15" width="13.7109375" style="14417" customWidth="1"/>
    <col min="16" max="16" width="15.42578125" style="14417" customWidth="1"/>
    <col min="17" max="17" width="16.28515625" style="14417" customWidth="1"/>
    <col min="18" max="21" width="10.5703125" style="14417"/>
  </cols>
  <sheetData>
    <row r="1" spans="1:21" ht="14.25" hidden="1" customHeight="1">
      <c r="E1" s="327"/>
      <c r="F1" s="327"/>
      <c r="G1" s="327"/>
      <c r="H1" s="15970" t="s">
        <v>489</v>
      </c>
      <c r="I1" s="15970"/>
    </row>
    <row r="2" spans="1:21" s="14412" customFormat="1" ht="14.25" hidden="1" customHeight="1">
      <c r="C2" s="1482"/>
      <c r="D2" s="16104" t="s">
        <v>147</v>
      </c>
      <c r="E2" s="16106"/>
      <c r="F2" s="1488"/>
      <c r="G2" s="1483" t="s">
        <v>147</v>
      </c>
      <c r="H2" s="1486"/>
      <c r="I2" s="1484"/>
      <c r="L2" s="1485"/>
      <c r="M2" s="1485"/>
      <c r="N2" s="1485"/>
      <c r="O2" s="1485" t="s">
        <v>519</v>
      </c>
      <c r="P2" s="1485"/>
      <c r="Q2" s="1485"/>
      <c r="R2" s="1487" t="s">
        <v>518</v>
      </c>
      <c r="S2" s="1487" t="s">
        <v>518</v>
      </c>
      <c r="T2" s="1485"/>
      <c r="U2" s="1485"/>
    </row>
    <row r="3" spans="1:21" s="14412" customFormat="1" ht="14.25" hidden="1" customHeight="1">
      <c r="C3" s="1482"/>
      <c r="D3" s="16105"/>
      <c r="E3" s="16107"/>
      <c r="F3" s="320"/>
      <c r="G3" s="763"/>
      <c r="H3" s="763" t="s">
        <v>520</v>
      </c>
      <c r="I3" s="230"/>
      <c r="L3" s="1485"/>
      <c r="M3" s="1485"/>
      <c r="N3" s="1485"/>
      <c r="O3" s="1485"/>
      <c r="P3" s="1485"/>
      <c r="Q3" s="1485"/>
      <c r="R3" s="1487"/>
      <c r="S3" s="1487"/>
      <c r="T3" s="1485"/>
      <c r="U3" s="1485"/>
    </row>
    <row r="4" spans="1:21" ht="14.25" hidden="1" customHeight="1"/>
    <row r="5" spans="1:21" s="14413" customFormat="1" ht="6" customHeight="1">
      <c r="C5" s="601"/>
      <c r="D5" s="602"/>
      <c r="E5" s="602"/>
      <c r="F5" s="602"/>
      <c r="G5" s="602"/>
      <c r="H5" s="602" t="s">
        <v>493</v>
      </c>
      <c r="I5" s="602"/>
      <c r="J5" s="602"/>
      <c r="L5" s="1478"/>
      <c r="M5" s="1478"/>
      <c r="N5" s="1478"/>
      <c r="O5" s="1478"/>
      <c r="P5" s="1478"/>
      <c r="Q5" s="1478"/>
      <c r="R5" s="1478"/>
      <c r="S5" s="1478"/>
      <c r="T5" s="1478"/>
      <c r="U5" s="1478"/>
    </row>
    <row r="6" spans="1:21" ht="27.75" customHeight="1">
      <c r="C6" s="1387"/>
      <c r="D6" s="16108" t="s">
        <v>521</v>
      </c>
      <c r="E6" s="16108"/>
      <c r="F6" s="16108"/>
      <c r="G6" s="16108"/>
      <c r="H6" s="16108"/>
      <c r="I6" s="16108"/>
      <c r="J6" s="398"/>
      <c r="K6" s="1479"/>
    </row>
    <row r="7" spans="1:21" ht="17.25" customHeight="1">
      <c r="C7" s="1387"/>
      <c r="D7" s="16056" t="str">
        <f>IF(org=0,"Не определено",org)</f>
        <v>АО "Мурманэнергосбыт"</v>
      </c>
      <c r="E7" s="16056"/>
      <c r="F7" s="16056"/>
      <c r="G7" s="16056"/>
      <c r="H7" s="16056"/>
      <c r="I7" s="16056"/>
      <c r="J7" s="398"/>
      <c r="K7" s="1479"/>
    </row>
    <row r="8" spans="1:21" s="14414" customFormat="1" ht="6" customHeight="1">
      <c r="A8" s="1477"/>
      <c r="C8" s="393"/>
      <c r="D8" s="392"/>
      <c r="E8" s="392"/>
      <c r="F8" s="392"/>
      <c r="G8" s="392"/>
      <c r="H8" s="392"/>
      <c r="I8" s="392"/>
      <c r="J8" s="392"/>
      <c r="L8" s="1478"/>
      <c r="M8" s="1478"/>
      <c r="N8" s="1478"/>
      <c r="O8" s="1478"/>
      <c r="P8" s="1478"/>
      <c r="Q8" s="1478"/>
      <c r="R8" s="1478"/>
      <c r="S8" s="1478"/>
      <c r="T8" s="1478"/>
      <c r="U8" s="1478"/>
    </row>
    <row r="9" spans="1:21" s="14414" customFormat="1" ht="6" customHeight="1">
      <c r="A9" s="1477"/>
      <c r="C9" s="393"/>
      <c r="D9" s="392"/>
      <c r="E9" s="392"/>
      <c r="F9" s="392"/>
      <c r="G9" s="392"/>
      <c r="H9" s="392"/>
      <c r="I9" s="392"/>
      <c r="J9" s="392"/>
      <c r="L9" s="1485"/>
      <c r="M9" s="1485"/>
      <c r="N9" s="1485"/>
      <c r="O9" s="1485"/>
      <c r="P9" s="1485"/>
      <c r="Q9" s="1485"/>
      <c r="R9" s="1485"/>
      <c r="S9" s="1485"/>
      <c r="T9" s="1485"/>
      <c r="U9" s="1485"/>
    </row>
    <row r="10" spans="1:21" ht="14.25" customHeight="1">
      <c r="C10" s="1387"/>
      <c r="D10" s="16092" t="s">
        <v>437</v>
      </c>
      <c r="E10" s="16093"/>
      <c r="F10" s="16093"/>
      <c r="G10" s="16093"/>
      <c r="H10" s="16093"/>
      <c r="I10" s="16093"/>
      <c r="J10" s="16020" t="s">
        <v>438</v>
      </c>
    </row>
    <row r="11" spans="1:21" ht="25.5" customHeight="1">
      <c r="C11" s="1387"/>
      <c r="D11" s="15992" t="s">
        <v>87</v>
      </c>
      <c r="E11" s="16020" t="s">
        <v>143</v>
      </c>
      <c r="F11" s="16070" t="s">
        <v>87</v>
      </c>
      <c r="G11" s="16071"/>
      <c r="H11" s="16055" t="s">
        <v>522</v>
      </c>
      <c r="I11" s="16055" t="s">
        <v>523</v>
      </c>
      <c r="J11" s="16020"/>
    </row>
    <row r="12" spans="1:21" ht="14.25" customHeight="1">
      <c r="C12" s="1387"/>
      <c r="D12" s="15992"/>
      <c r="E12" s="16020"/>
      <c r="F12" s="16075"/>
      <c r="G12" s="16076"/>
      <c r="H12" s="16103"/>
      <c r="I12" s="16103"/>
      <c r="J12" s="16020"/>
    </row>
    <row r="13" spans="1:21" s="14405" customFormat="1" ht="11.25" hidden="1" customHeight="1">
      <c r="C13" s="405"/>
      <c r="D13" s="406" t="s">
        <v>513</v>
      </c>
      <c r="E13" s="406"/>
      <c r="F13" s="406"/>
      <c r="G13" s="406"/>
      <c r="H13" s="404"/>
      <c r="I13" s="404"/>
      <c r="J13" s="348"/>
      <c r="L13" s="1478"/>
      <c r="M13" s="1478"/>
      <c r="N13" s="1478"/>
      <c r="O13" s="1478"/>
      <c r="P13" s="1478"/>
      <c r="Q13" s="1478"/>
      <c r="R13" s="1478"/>
      <c r="S13" s="1478"/>
      <c r="T13" s="1478"/>
      <c r="U13" s="1478"/>
    </row>
    <row r="14" spans="1:21" ht="14.25" customHeight="1">
      <c r="A14" s="1475"/>
      <c r="C14" s="1387"/>
      <c r="D14" s="16104" t="s">
        <v>147</v>
      </c>
      <c r="E14" s="16106"/>
      <c r="F14" s="1481"/>
      <c r="G14" s="1480" t="s">
        <v>147</v>
      </c>
      <c r="H14" s="1486"/>
      <c r="I14" s="1484"/>
      <c r="J14" s="16032" t="s">
        <v>524</v>
      </c>
      <c r="K14" s="1475"/>
      <c r="R14" s="407" t="s">
        <v>518</v>
      </c>
      <c r="S14" s="407" t="s">
        <v>518</v>
      </c>
    </row>
    <row r="15" spans="1:21" ht="14.25" customHeight="1">
      <c r="A15" s="1475"/>
      <c r="C15" s="1387"/>
      <c r="D15" s="16105"/>
      <c r="E15" s="16107"/>
      <c r="F15" s="320"/>
      <c r="G15" s="763"/>
      <c r="H15" s="763" t="s">
        <v>520</v>
      </c>
      <c r="I15" s="230"/>
      <c r="J15" s="16033"/>
      <c r="K15" s="1475"/>
      <c r="R15" s="407"/>
      <c r="S15" s="407"/>
    </row>
    <row r="16" spans="1:21" ht="14.25" customHeight="1">
      <c r="A16" s="1475"/>
      <c r="C16" s="1387"/>
      <c r="D16" s="320"/>
      <c r="E16" s="763" t="s">
        <v>156</v>
      </c>
      <c r="F16" s="230"/>
      <c r="G16" s="230"/>
      <c r="H16" s="321"/>
      <c r="I16" s="321"/>
      <c r="J16" s="16034"/>
      <c r="K16" s="1475"/>
    </row>
    <row r="17" spans="11:11" ht="14.25" customHeight="1">
      <c r="K17" s="147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4406" hidden="1" customWidth="1"/>
    <col min="2" max="2" width="9.140625" style="14407" hidden="1" customWidth="1"/>
    <col min="3" max="3" width="9.140625" style="14361" hidden="1" customWidth="1"/>
    <col min="4" max="4" width="3.7109375" style="14408" customWidth="1"/>
    <col min="5" max="5" width="6.28515625" style="14407" customWidth="1"/>
    <col min="6" max="6" width="1.7109375" style="14361" hidden="1" customWidth="1"/>
    <col min="7" max="8" width="30.7109375" style="14407" customWidth="1"/>
    <col min="9" max="9" width="9" style="14407" customWidth="1"/>
    <col min="10" max="10" width="12.140625" style="14407" customWidth="1"/>
    <col min="11" max="11" width="46.7109375" style="14407" customWidth="1"/>
    <col min="12" max="12" width="100.28515625" style="14407" customWidth="1"/>
    <col min="13" max="13" width="7.5703125" style="14410" customWidth="1"/>
    <col min="14" max="22" width="10.5703125" style="14407"/>
  </cols>
  <sheetData>
    <row r="1" spans="1:22" s="14411" customFormat="1" ht="5.25" hidden="1" customHeight="1">
      <c r="C1" s="418"/>
      <c r="D1" s="401"/>
      <c r="F1" s="418"/>
      <c r="G1" s="396" t="s">
        <v>82</v>
      </c>
      <c r="H1" s="396" t="s">
        <v>83</v>
      </c>
      <c r="I1" s="396" t="s">
        <v>84</v>
      </c>
      <c r="P1" s="396" t="s">
        <v>82</v>
      </c>
      <c r="Q1" s="396" t="s">
        <v>83</v>
      </c>
      <c r="R1" s="396" t="s">
        <v>84</v>
      </c>
    </row>
    <row r="2" spans="1:22" s="14411" customFormat="1" ht="5.25" hidden="1" customHeight="1">
      <c r="C2" s="418"/>
      <c r="D2" s="401"/>
      <c r="F2" s="418"/>
    </row>
    <row r="3" spans="1:22" s="14404" customFormat="1" ht="6" customHeight="1">
      <c r="A3" s="386"/>
      <c r="D3" s="393"/>
      <c r="E3" s="388"/>
      <c r="F3" s="388"/>
      <c r="G3" s="388"/>
      <c r="H3" s="388"/>
      <c r="I3" s="389"/>
      <c r="J3" s="390"/>
      <c r="K3" s="390"/>
      <c r="L3" s="390"/>
    </row>
    <row r="4" spans="1:22" ht="22.5" customHeight="1">
      <c r="D4" s="362"/>
      <c r="E4" s="15985" t="s">
        <v>525</v>
      </c>
      <c r="F4" s="15985"/>
      <c r="G4" s="15986"/>
      <c r="H4" s="15986"/>
      <c r="I4" s="15987"/>
      <c r="J4" s="398"/>
      <c r="K4" s="364"/>
      <c r="L4" s="364"/>
    </row>
    <row r="5" spans="1:22" s="14361" customFormat="1" ht="17.25" customHeight="1">
      <c r="A5" s="657"/>
      <c r="D5" s="720"/>
      <c r="E5" s="16089" t="str">
        <f>IF(org=0,"Не определено",org)</f>
        <v>АО "Мурманэнергосбыт"</v>
      </c>
      <c r="F5" s="16089"/>
      <c r="G5" s="16090"/>
      <c r="H5" s="16090"/>
      <c r="I5" s="16091"/>
      <c r="J5" s="398"/>
      <c r="K5" s="364"/>
      <c r="L5" s="364"/>
      <c r="M5" s="414"/>
    </row>
    <row r="6" spans="1:22" s="14404" customFormat="1" ht="11.25" customHeight="1">
      <c r="A6" s="386"/>
      <c r="D6" s="393"/>
      <c r="E6" s="388"/>
      <c r="F6" s="388"/>
      <c r="G6" s="391"/>
      <c r="H6" s="391"/>
      <c r="I6" s="392"/>
      <c r="J6" s="392"/>
      <c r="K6" s="650"/>
      <c r="L6" s="392"/>
    </row>
    <row r="7" spans="1:22" ht="14.25" customHeight="1">
      <c r="D7" s="362"/>
      <c r="E7" s="16083" t="s">
        <v>437</v>
      </c>
      <c r="F7" s="16083"/>
      <c r="G7" s="16084"/>
      <c r="H7" s="16084"/>
      <c r="I7" s="16084"/>
      <c r="J7" s="16084"/>
      <c r="K7" s="16084"/>
      <c r="L7" s="16020" t="s">
        <v>438</v>
      </c>
    </row>
    <row r="8" spans="1:22" ht="45" customHeight="1">
      <c r="D8" s="362"/>
      <c r="E8" s="381" t="s">
        <v>87</v>
      </c>
      <c r="F8" s="721"/>
      <c r="G8" s="373" t="s">
        <v>85</v>
      </c>
      <c r="H8" s="373" t="s">
        <v>86</v>
      </c>
      <c r="I8" s="329" t="s">
        <v>84</v>
      </c>
      <c r="J8" s="329" t="s">
        <v>526</v>
      </c>
      <c r="K8" s="329" t="s">
        <v>527</v>
      </c>
      <c r="L8" s="16020"/>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16095" t="s">
        <v>528</v>
      </c>
      <c r="M10" s="414"/>
      <c r="N10" s="412"/>
      <c r="O10" s="412"/>
      <c r="P10" s="412"/>
      <c r="Q10" s="412"/>
      <c r="R10" s="412"/>
      <c r="S10" s="412"/>
      <c r="T10" s="412"/>
      <c r="U10" s="412"/>
      <c r="V10" s="412"/>
    </row>
    <row r="11" spans="1:22" ht="15" hidden="1" customHeight="1">
      <c r="A11" s="15966"/>
      <c r="B11" s="411"/>
      <c r="C11" s="411"/>
      <c r="D11" s="759"/>
      <c r="E11" s="420"/>
      <c r="F11" s="420"/>
      <c r="G11" s="420"/>
      <c r="H11" s="420"/>
      <c r="I11" s="421"/>
      <c r="J11" s="422"/>
      <c r="K11" s="613"/>
      <c r="L11" s="16109"/>
      <c r="M11" s="418"/>
      <c r="N11" s="418"/>
      <c r="O11" s="418"/>
      <c r="P11" s="423"/>
      <c r="Q11" s="423"/>
      <c r="R11" s="424"/>
      <c r="S11" s="418"/>
      <c r="T11" s="418"/>
      <c r="U11" s="418"/>
      <c r="V11" s="418"/>
    </row>
    <row r="12" spans="1:22" s="14404" customFormat="1" ht="14.25" customHeight="1">
      <c r="A12" s="15966"/>
      <c r="B12" s="411"/>
      <c r="C12" s="411"/>
      <c r="D12" s="760"/>
      <c r="E12" s="721">
        <v>1</v>
      </c>
      <c r="F12" s="758">
        <v>23</v>
      </c>
      <c r="G12" s="757"/>
      <c r="H12" s="691"/>
      <c r="I12" s="689"/>
      <c r="J12" s="427" t="s">
        <v>66</v>
      </c>
      <c r="K12" s="1045" t="s">
        <v>24</v>
      </c>
      <c r="L12" s="16109"/>
      <c r="M12" s="418"/>
      <c r="N12" s="418"/>
      <c r="O12" s="418"/>
      <c r="P12" s="423" t="s">
        <v>529</v>
      </c>
      <c r="Q12" s="423" t="s">
        <v>530</v>
      </c>
      <c r="R12" s="424" t="s">
        <v>531</v>
      </c>
      <c r="S12" s="418" t="s">
        <v>532</v>
      </c>
      <c r="T12" s="418"/>
      <c r="U12" s="418"/>
      <c r="V12" s="418"/>
    </row>
    <row r="13" spans="1:22" ht="15" customHeight="1">
      <c r="A13" s="15966"/>
      <c r="B13" s="412"/>
      <c r="D13" s="413"/>
      <c r="E13" s="320"/>
      <c r="F13" s="436"/>
      <c r="G13" s="331" t="s">
        <v>101</v>
      </c>
      <c r="H13" s="319"/>
      <c r="I13" s="319"/>
      <c r="J13" s="319"/>
      <c r="K13" s="318"/>
      <c r="L13" s="16096"/>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2" style="14419" hidden="1" customWidth="1"/>
    <col min="10" max="10" width="9.85546875" style="14419" hidden="1" customWidth="1"/>
    <col min="11" max="11" width="11.42578125" style="14419" hidden="1" customWidth="1"/>
    <col min="12" max="12" width="19.140625" style="14422" hidden="1" customWidth="1"/>
    <col min="13" max="14" width="12.28515625" style="14423" hidden="1" customWidth="1"/>
    <col min="15" max="15" width="23.42578125" style="14423" hidden="1" customWidth="1"/>
    <col min="16" max="16" width="3.7109375" style="14424" customWidth="1"/>
    <col min="17" max="18" width="3.7109375" style="14425" customWidth="1"/>
    <col min="19" max="19" width="12.7109375" style="14426" customWidth="1"/>
    <col min="20" max="20" width="35.7109375" style="14427" customWidth="1"/>
    <col min="21" max="21" width="0.140625" style="14427" customWidth="1"/>
    <col min="22" max="22" width="24.7109375" style="14427" hidden="1" customWidth="1"/>
    <col min="23" max="23" width="0.140625" style="14427" hidden="1" customWidth="1"/>
    <col min="24" max="25" width="24.7109375" style="14427" hidden="1" customWidth="1"/>
    <col min="26" max="26" width="11.7109375" style="14427" hidden="1" customWidth="1"/>
    <col min="27" max="27" width="3.7109375" style="14427" hidden="1" customWidth="1"/>
    <col min="28" max="28" width="11.7109375" style="14427" hidden="1" customWidth="1"/>
    <col min="29" max="29" width="8.5703125" style="14427" hidden="1" customWidth="1"/>
    <col min="30" max="30" width="24.7109375" style="14427" customWidth="1"/>
    <col min="31" max="31" width="0.140625" style="14427" customWidth="1"/>
    <col min="32" max="33" width="24.7109375" style="14427" customWidth="1"/>
    <col min="34" max="34" width="11.7109375" style="14427" customWidth="1"/>
    <col min="35" max="35" width="3.7109375" style="14427" customWidth="1"/>
    <col min="36" max="36" width="11.7109375" style="14427" customWidth="1"/>
    <col min="37" max="37" width="8.5703125" style="14427" hidden="1" customWidth="1"/>
    <col min="38" max="38" width="4.7109375" style="14427" customWidth="1"/>
    <col min="39" max="39" width="115.7109375" style="14427" customWidth="1"/>
    <col min="40" max="41" width="10.5703125" style="14421"/>
    <col min="42" max="42" width="11.140625" style="14421" customWidth="1"/>
    <col min="43" max="44" width="10.5703125" style="14421"/>
  </cols>
  <sheetData>
    <row r="1" spans="1:44" ht="14.25" hidden="1" customHeight="1">
      <c r="Y1" s="244"/>
      <c r="Z1" s="244"/>
      <c r="AG1" s="244"/>
      <c r="AH1" s="244"/>
    </row>
    <row r="2" spans="1:44" ht="21" hidden="1" customHeight="1">
      <c r="A2" s="1240"/>
      <c r="B2" s="1240"/>
      <c r="C2" s="1240"/>
      <c r="D2" s="1240"/>
      <c r="E2" s="16124">
        <v>1</v>
      </c>
      <c r="F2" s="1240"/>
      <c r="G2" s="1240"/>
      <c r="H2" s="1240"/>
      <c r="I2" s="1240"/>
      <c r="J2" s="1240"/>
      <c r="K2" s="1240"/>
      <c r="L2" s="1241"/>
      <c r="M2" s="1242"/>
      <c r="N2" s="1242"/>
      <c r="O2" s="1242"/>
      <c r="P2" s="277"/>
      <c r="Q2" s="276"/>
      <c r="R2" s="271"/>
      <c r="S2" s="1188" t="e">
        <f>INDEX(PT_DIFFERENTIATION_NUM_NTAR,MATCH(A2,PT_DIFFERENTIATION_NTAR_ID,0))</f>
        <v>#N/A</v>
      </c>
      <c r="T2" s="215" t="s">
        <v>158</v>
      </c>
      <c r="U2" s="217"/>
      <c r="V2" s="16110"/>
      <c r="W2" s="16111"/>
      <c r="X2" s="16111"/>
      <c r="Y2" s="16111"/>
      <c r="Z2" s="16111"/>
      <c r="AA2" s="16111"/>
      <c r="AB2" s="16111"/>
      <c r="AC2" s="16112"/>
      <c r="AD2" s="16110" t="e">
        <f>INDEX(PT_DIFFERENTIATION_NTAR,MATCH(A2,PT_DIFFERENTIATION_NTAR_ID,0))</f>
        <v>#N/A</v>
      </c>
      <c r="AE2" s="16111"/>
      <c r="AF2" s="16111"/>
      <c r="AG2" s="16111"/>
      <c r="AH2" s="16111"/>
      <c r="AI2" s="16111"/>
      <c r="AJ2" s="16111"/>
      <c r="AK2" s="16111"/>
      <c r="AL2" s="16112"/>
      <c r="AM2" s="1140" t="s">
        <v>533</v>
      </c>
      <c r="AO2" s="407"/>
      <c r="AP2" s="407" t="str">
        <f t="shared" ref="AP2:AP15" si="0">IF(T2="","",T2)</f>
        <v>Наименование тарифа</v>
      </c>
      <c r="AQ2" s="407"/>
      <c r="AR2" s="407"/>
    </row>
    <row r="3" spans="1:44" ht="21" hidden="1" customHeight="1">
      <c r="A3" s="1240"/>
      <c r="B3" s="1240"/>
      <c r="C3" s="1240"/>
      <c r="D3" s="1240"/>
      <c r="E3" s="16125"/>
      <c r="F3" s="16124">
        <v>1</v>
      </c>
      <c r="G3" s="1240"/>
      <c r="H3" s="1240"/>
      <c r="I3" s="1240"/>
      <c r="J3" s="1240"/>
      <c r="K3" s="1240"/>
      <c r="L3" s="1241"/>
      <c r="M3" s="1242"/>
      <c r="N3" s="1242"/>
      <c r="O3" s="1242"/>
      <c r="P3" s="1184"/>
      <c r="Q3" s="268"/>
      <c r="R3" s="269"/>
      <c r="S3" s="1188" t="e">
        <f>INDEX(PT_DIFFERENTIATION_NUM_TER,MATCH(B3,PT_DIFFERENTIATION_TER_ID,0))</f>
        <v>#N/A</v>
      </c>
      <c r="T3" s="225" t="s">
        <v>534</v>
      </c>
      <c r="U3" s="217"/>
      <c r="V3" s="16110"/>
      <c r="W3" s="16111"/>
      <c r="X3" s="16111"/>
      <c r="Y3" s="16111"/>
      <c r="Z3" s="16111"/>
      <c r="AA3" s="16111"/>
      <c r="AB3" s="16111"/>
      <c r="AC3" s="16112"/>
      <c r="AD3" s="16110" t="e">
        <f>INDEX(PT_DIFFERENTIATION_TER,MATCH(B3,PT_DIFFERENTIATION_TER_ID,0))</f>
        <v>#N/A</v>
      </c>
      <c r="AE3" s="16111"/>
      <c r="AF3" s="16111"/>
      <c r="AG3" s="16111"/>
      <c r="AH3" s="16111"/>
      <c r="AI3" s="16111"/>
      <c r="AJ3" s="16111"/>
      <c r="AK3" s="16111"/>
      <c r="AL3" s="16112"/>
      <c r="AM3" s="1140" t="s">
        <v>535</v>
      </c>
      <c r="AO3" s="407"/>
      <c r="AP3" s="407" t="str">
        <f t="shared" si="0"/>
        <v>Территория действия тарифа</v>
      </c>
      <c r="AQ3" s="407"/>
      <c r="AR3" s="407"/>
    </row>
    <row r="4" spans="1:44" ht="23.25" hidden="1" customHeight="1">
      <c r="A4" s="1240"/>
      <c r="B4" s="1240"/>
      <c r="C4" s="1240"/>
      <c r="D4" s="1240"/>
      <c r="E4" s="16125"/>
      <c r="F4" s="16125"/>
      <c r="G4" s="16124">
        <v>1</v>
      </c>
      <c r="H4" s="1240"/>
      <c r="I4" s="1240"/>
      <c r="J4" s="1240"/>
      <c r="K4" s="1240"/>
      <c r="L4" s="1241"/>
      <c r="M4" s="1242"/>
      <c r="N4" s="1242"/>
      <c r="O4" s="1242"/>
      <c r="P4" s="270"/>
      <c r="Q4" s="268"/>
      <c r="R4" s="269"/>
      <c r="S4" s="1188" t="e">
        <f>INDEX(PT_DIFFERENTIATION_NUM_CS,MATCH(C4,PT_DIFFERENTIATION_CS_ID,0))</f>
        <v>#N/A</v>
      </c>
      <c r="T4" s="226" t="s">
        <v>536</v>
      </c>
      <c r="U4" s="217"/>
      <c r="V4" s="16110"/>
      <c r="W4" s="16111"/>
      <c r="X4" s="16111"/>
      <c r="Y4" s="16111"/>
      <c r="Z4" s="16111"/>
      <c r="AA4" s="16111"/>
      <c r="AB4" s="16111"/>
      <c r="AC4" s="16112"/>
      <c r="AD4" s="16110" t="e">
        <f>INDEX(PT_DIFFERENTIATION_CS,MATCH(C4,PT_DIFFERENTIATION_CS_ID,0))</f>
        <v>#N/A</v>
      </c>
      <c r="AE4" s="16111"/>
      <c r="AF4" s="16111"/>
      <c r="AG4" s="16111"/>
      <c r="AH4" s="16111"/>
      <c r="AI4" s="16111"/>
      <c r="AJ4" s="16111"/>
      <c r="AK4" s="16111"/>
      <c r="AL4" s="16112"/>
      <c r="AM4" s="1140" t="s">
        <v>537</v>
      </c>
      <c r="AO4" s="407"/>
      <c r="AP4" s="407" t="str">
        <f t="shared" si="0"/>
        <v xml:space="preserve">Наименование системы теплоснабжения </v>
      </c>
      <c r="AQ4" s="407"/>
      <c r="AR4" s="407"/>
    </row>
    <row r="5" spans="1:44" ht="21" hidden="1" customHeight="1">
      <c r="A5" s="1240"/>
      <c r="B5" s="1240"/>
      <c r="C5" s="1240"/>
      <c r="D5" s="1240"/>
      <c r="E5" s="16125"/>
      <c r="F5" s="16125"/>
      <c r="G5" s="16125"/>
      <c r="H5" s="16124">
        <v>1</v>
      </c>
      <c r="I5" s="1240"/>
      <c r="J5" s="1240"/>
      <c r="K5" s="1240"/>
      <c r="L5" s="1241"/>
      <c r="M5" s="1242"/>
      <c r="N5" s="1242"/>
      <c r="O5" s="1242"/>
      <c r="P5" s="270"/>
      <c r="Q5" s="268"/>
      <c r="R5" s="269"/>
      <c r="S5" s="1188" t="e">
        <f>INDEX(PT_DIFFERENTIATION_NUM_IST_TE,MATCH(D5,PT_DIFFERENTIATION_IST_TE_ID,0))</f>
        <v>#N/A</v>
      </c>
      <c r="T5" s="227" t="s">
        <v>538</v>
      </c>
      <c r="U5" s="217"/>
      <c r="V5" s="16110"/>
      <c r="W5" s="16111"/>
      <c r="X5" s="16111"/>
      <c r="Y5" s="16111"/>
      <c r="Z5" s="16111"/>
      <c r="AA5" s="16111"/>
      <c r="AB5" s="16111"/>
      <c r="AC5" s="16112"/>
      <c r="AD5" s="16110" t="e">
        <f>INDEX(PT_DIFFERENTIATION_IST_TE,MATCH(D5,PT_DIFFERENTIATION_IST_TE_ID,0))</f>
        <v>#N/A</v>
      </c>
      <c r="AE5" s="16111"/>
      <c r="AF5" s="16111"/>
      <c r="AG5" s="16111"/>
      <c r="AH5" s="16111"/>
      <c r="AI5" s="16111"/>
      <c r="AJ5" s="16111"/>
      <c r="AK5" s="16111"/>
      <c r="AL5" s="16112"/>
      <c r="AM5" s="1140" t="s">
        <v>539</v>
      </c>
      <c r="AO5" s="407"/>
      <c r="AP5" s="407" t="str">
        <f t="shared" si="0"/>
        <v xml:space="preserve">Источник тепловой энергии  </v>
      </c>
      <c r="AQ5" s="407"/>
      <c r="AR5" s="407"/>
    </row>
    <row r="6" spans="1:44" ht="47.25" hidden="1" customHeight="1">
      <c r="A6" s="1240"/>
      <c r="B6" s="1240"/>
      <c r="C6" s="1240"/>
      <c r="D6" s="1240"/>
      <c r="E6" s="16125"/>
      <c r="F6" s="16125"/>
      <c r="G6" s="16125"/>
      <c r="H6" s="16125"/>
      <c r="I6" s="16122" t="e">
        <f>S5&amp;".1"</f>
        <v>#N/A</v>
      </c>
      <c r="J6" s="1240"/>
      <c r="K6" s="1240"/>
      <c r="L6" s="1241" t="s">
        <v>540</v>
      </c>
      <c r="M6" s="443"/>
      <c r="P6" s="16123">
        <v>1</v>
      </c>
      <c r="Q6" s="1185"/>
      <c r="R6" s="272"/>
      <c r="S6" s="1188" t="e">
        <f>$I6</f>
        <v>#N/A</v>
      </c>
      <c r="T6" s="202" t="s">
        <v>541</v>
      </c>
      <c r="U6" s="217"/>
      <c r="V6" s="16113"/>
      <c r="W6" s="16114"/>
      <c r="X6" s="16114"/>
      <c r="Y6" s="16114"/>
      <c r="Z6" s="16114"/>
      <c r="AA6" s="16114"/>
      <c r="AB6" s="16114"/>
      <c r="AC6" s="16115"/>
      <c r="AD6" s="16113"/>
      <c r="AE6" s="16114"/>
      <c r="AF6" s="16114"/>
      <c r="AG6" s="16114"/>
      <c r="AH6" s="16114"/>
      <c r="AI6" s="16114"/>
      <c r="AJ6" s="16114"/>
      <c r="AK6" s="16114"/>
      <c r="AL6" s="16115"/>
      <c r="AM6" s="1140" t="s">
        <v>542</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0"/>
      <c r="B7" s="1240"/>
      <c r="C7" s="1240"/>
      <c r="D7" s="1240"/>
      <c r="E7" s="16125"/>
      <c r="F7" s="16125"/>
      <c r="G7" s="16125"/>
      <c r="H7" s="16125"/>
      <c r="I7" s="16145"/>
      <c r="J7" s="16122" t="e">
        <f>I6&amp;".1"</f>
        <v>#N/A</v>
      </c>
      <c r="K7" s="1240"/>
      <c r="L7" s="1241" t="s">
        <v>543</v>
      </c>
      <c r="M7" s="443"/>
      <c r="N7" s="1243"/>
      <c r="P7" s="16123"/>
      <c r="Q7" s="16123">
        <v>1</v>
      </c>
      <c r="R7" s="273"/>
      <c r="S7" s="1188" t="e">
        <f>$J7</f>
        <v>#N/A</v>
      </c>
      <c r="T7" s="203" t="s">
        <v>544</v>
      </c>
      <c r="U7" s="217"/>
      <c r="V7" s="16113"/>
      <c r="W7" s="16114"/>
      <c r="X7" s="16114"/>
      <c r="Y7" s="16114"/>
      <c r="Z7" s="16114"/>
      <c r="AA7" s="16114"/>
      <c r="AB7" s="16114"/>
      <c r="AC7" s="16115"/>
      <c r="AD7" s="16113"/>
      <c r="AE7" s="16114"/>
      <c r="AF7" s="16114"/>
      <c r="AG7" s="16114"/>
      <c r="AH7" s="16114"/>
      <c r="AI7" s="16114"/>
      <c r="AJ7" s="16114"/>
      <c r="AK7" s="16114"/>
      <c r="AL7" s="16115"/>
      <c r="AM7" s="1140" t="s">
        <v>545</v>
      </c>
      <c r="AO7" s="407"/>
      <c r="AP7" s="407" t="str">
        <f t="shared" si="0"/>
        <v>Группа потребителей</v>
      </c>
      <c r="AQ7" s="407"/>
      <c r="AR7" s="407"/>
    </row>
    <row r="8" spans="1:44" ht="21" hidden="1" customHeight="1">
      <c r="A8" s="1240"/>
      <c r="B8" s="1240"/>
      <c r="C8" s="1240"/>
      <c r="D8" s="1240"/>
      <c r="E8" s="16125"/>
      <c r="F8" s="16125"/>
      <c r="G8" s="16125"/>
      <c r="H8" s="16125"/>
      <c r="I8" s="16145"/>
      <c r="J8" s="16145"/>
      <c r="K8" s="16122" t="e">
        <f>J7&amp;".1"</f>
        <v>#N/A</v>
      </c>
      <c r="L8" s="1241" t="s">
        <v>546</v>
      </c>
      <c r="M8" s="443"/>
      <c r="N8" s="1243"/>
      <c r="O8" s="1243"/>
      <c r="P8" s="16123"/>
      <c r="Q8" s="16123"/>
      <c r="R8" s="273">
        <v>1</v>
      </c>
      <c r="S8" s="1188" t="e">
        <f>$K8</f>
        <v>#N/A</v>
      </c>
      <c r="T8" s="1225"/>
      <c r="U8" s="217"/>
      <c r="V8" s="649"/>
      <c r="W8" s="242"/>
      <c r="X8" s="649"/>
      <c r="Y8" s="1139"/>
      <c r="Z8" s="16127"/>
      <c r="AA8" s="15973" t="s">
        <v>66</v>
      </c>
      <c r="AB8" s="16127"/>
      <c r="AC8" s="15973" t="s">
        <v>66</v>
      </c>
      <c r="AD8" s="649"/>
      <c r="AE8" s="242"/>
      <c r="AF8" s="649"/>
      <c r="AG8" s="1139"/>
      <c r="AH8" s="16127"/>
      <c r="AI8" s="15973" t="s">
        <v>66</v>
      </c>
      <c r="AJ8" s="16127"/>
      <c r="AK8" s="15973" t="s">
        <v>66</v>
      </c>
      <c r="AL8" s="242"/>
      <c r="AM8" s="16119" t="s">
        <v>547</v>
      </c>
      <c r="AN8" s="418" t="e">
        <f ca="1">STRCHECKDATE(V9:AL9)</f>
        <v>#NAME?</v>
      </c>
      <c r="AO8" s="407"/>
      <c r="AP8" s="407" t="str">
        <f t="shared" si="0"/>
        <v/>
      </c>
      <c r="AQ8" s="407"/>
      <c r="AR8" s="407"/>
    </row>
    <row r="9" spans="1:44" ht="0.75" hidden="1" customHeight="1">
      <c r="A9" s="1240"/>
      <c r="B9" s="1240"/>
      <c r="C9" s="1240"/>
      <c r="D9" s="1240"/>
      <c r="E9" s="16125"/>
      <c r="F9" s="16125"/>
      <c r="G9" s="16125"/>
      <c r="H9" s="16125"/>
      <c r="I9" s="16145"/>
      <c r="J9" s="16145"/>
      <c r="K9" s="16122"/>
      <c r="L9" s="1241"/>
      <c r="M9" s="443"/>
      <c r="N9" s="1243"/>
      <c r="O9" s="1243"/>
      <c r="P9" s="16123"/>
      <c r="Q9" s="16123"/>
      <c r="R9" s="273"/>
      <c r="S9" s="1186"/>
      <c r="T9" s="217"/>
      <c r="U9" s="217"/>
      <c r="V9" s="242"/>
      <c r="W9" s="242"/>
      <c r="X9" s="242"/>
      <c r="Y9" s="245" t="str">
        <f>Z8&amp;"-"&amp;AB8</f>
        <v>-</v>
      </c>
      <c r="Z9" s="16128"/>
      <c r="AA9" s="15973"/>
      <c r="AB9" s="16128"/>
      <c r="AC9" s="15973"/>
      <c r="AD9" s="242"/>
      <c r="AE9" s="242"/>
      <c r="AF9" s="242"/>
      <c r="AG9" s="245" t="str">
        <f>AH8&amp;"-"&amp;AJ8</f>
        <v>-</v>
      </c>
      <c r="AH9" s="16128"/>
      <c r="AI9" s="15973"/>
      <c r="AJ9" s="16128"/>
      <c r="AK9" s="15973"/>
      <c r="AL9" s="242"/>
      <c r="AM9" s="16120"/>
      <c r="AO9" s="407"/>
      <c r="AP9" s="407" t="str">
        <f t="shared" si="0"/>
        <v/>
      </c>
      <c r="AQ9" s="407"/>
      <c r="AR9" s="407"/>
    </row>
    <row r="10" spans="1:44" ht="15" hidden="1" customHeight="1">
      <c r="A10" s="1240"/>
      <c r="B10" s="1240"/>
      <c r="C10" s="1240"/>
      <c r="D10" s="1240"/>
      <c r="E10" s="16125"/>
      <c r="F10" s="16125"/>
      <c r="G10" s="16125"/>
      <c r="H10" s="16125"/>
      <c r="I10" s="16145"/>
      <c r="J10" s="16122"/>
      <c r="K10" s="1240"/>
      <c r="L10" s="1241"/>
      <c r="M10" s="443"/>
      <c r="N10" s="1243"/>
      <c r="P10" s="16123"/>
      <c r="Q10" s="16123"/>
      <c r="R10" s="272"/>
      <c r="S10" s="1160"/>
      <c r="T10" s="205" t="s">
        <v>548</v>
      </c>
      <c r="U10" s="282"/>
      <c r="V10" s="282"/>
      <c r="W10" s="282"/>
      <c r="X10" s="282"/>
      <c r="Y10" s="282"/>
      <c r="Z10" s="282"/>
      <c r="AA10" s="282"/>
      <c r="AB10" s="282"/>
      <c r="AC10" s="282"/>
      <c r="AD10" s="282"/>
      <c r="AE10" s="282"/>
      <c r="AF10" s="282"/>
      <c r="AG10" s="282"/>
      <c r="AH10" s="282"/>
      <c r="AI10" s="282"/>
      <c r="AJ10" s="282"/>
      <c r="AK10" s="282"/>
      <c r="AL10" s="241"/>
      <c r="AM10" s="16121"/>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16125"/>
      <c r="F11" s="16125"/>
      <c r="G11" s="16125"/>
      <c r="H11" s="16125"/>
      <c r="I11" s="16122"/>
      <c r="J11" s="1240"/>
      <c r="K11" s="1240"/>
      <c r="L11" s="1241"/>
      <c r="M11" s="443"/>
      <c r="P11" s="16123"/>
      <c r="Q11" s="1185"/>
      <c r="R11" s="272"/>
      <c r="S11" s="1160"/>
      <c r="T11" s="204" t="s">
        <v>549</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16125"/>
      <c r="F12" s="16125"/>
      <c r="G12" s="16125"/>
      <c r="H12" s="16124"/>
      <c r="I12" s="1240"/>
      <c r="J12" s="1240"/>
      <c r="K12" s="1240"/>
      <c r="L12" s="1241"/>
      <c r="M12" s="1242"/>
      <c r="N12" s="1242"/>
      <c r="O12" s="443"/>
      <c r="P12" s="276"/>
      <c r="Q12" s="290"/>
      <c r="R12" s="271"/>
      <c r="S12" s="1160"/>
      <c r="T12" s="280" t="s">
        <v>550</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4418" customFormat="1" ht="0.75" hidden="1" customHeight="1">
      <c r="A13" s="1193"/>
      <c r="B13" s="1193"/>
      <c r="C13" s="1193"/>
      <c r="D13" s="1193"/>
      <c r="E13" s="16125"/>
      <c r="F13" s="16125"/>
      <c r="G13" s="16124"/>
      <c r="H13" s="1193"/>
      <c r="I13" s="1193"/>
      <c r="J13" s="1193"/>
      <c r="K13" s="1193"/>
      <c r="L13" s="1217"/>
      <c r="M13" s="1194"/>
      <c r="N13" s="1194"/>
      <c r="P13" s="1195"/>
      <c r="Q13" s="1196"/>
      <c r="R13" s="1195"/>
      <c r="S13" s="1197"/>
      <c r="T13" s="1198" t="s">
        <v>551</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4418" customFormat="1" ht="0.75" hidden="1" customHeight="1">
      <c r="A14" s="1193"/>
      <c r="B14" s="1193"/>
      <c r="C14" s="1193"/>
      <c r="D14" s="1193"/>
      <c r="E14" s="16125"/>
      <c r="F14" s="16124"/>
      <c r="G14" s="1193"/>
      <c r="H14" s="1193"/>
      <c r="I14" s="1193"/>
      <c r="J14" s="1193"/>
      <c r="K14" s="1193"/>
      <c r="L14" s="1217"/>
      <c r="M14" s="1200"/>
      <c r="N14" s="1200"/>
      <c r="P14" s="1195"/>
      <c r="Q14" s="1196"/>
      <c r="R14" s="1195"/>
      <c r="S14" s="1201"/>
      <c r="T14" s="1202" t="s">
        <v>290</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4418" customFormat="1" ht="0.75" hidden="1" customHeight="1">
      <c r="A15" s="1193"/>
      <c r="B15" s="1193"/>
      <c r="C15" s="1193"/>
      <c r="D15" s="1193"/>
      <c r="E15" s="16124"/>
      <c r="F15" s="1193"/>
      <c r="G15" s="1193"/>
      <c r="H15" s="1193"/>
      <c r="I15" s="1193"/>
      <c r="J15" s="1193"/>
      <c r="K15" s="1193"/>
      <c r="L15" s="1217"/>
      <c r="M15" s="1200"/>
      <c r="N15" s="1200"/>
      <c r="P15" s="1195"/>
      <c r="Q15" s="1196"/>
      <c r="R15" s="1195"/>
      <c r="S15" s="1201"/>
      <c r="T15" s="1204" t="s">
        <v>326</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0"/>
      <c r="AD17" s="1237"/>
      <c r="AE17" s="1237"/>
      <c r="AF17" s="1237"/>
      <c r="AG17" s="1238"/>
      <c r="AH17" s="16129"/>
      <c r="AI17" s="16130" t="s">
        <v>66</v>
      </c>
      <c r="AJ17" s="16129"/>
      <c r="AK17" s="16130" t="s">
        <v>66</v>
      </c>
    </row>
    <row r="18" spans="1:44" ht="14.25" hidden="1" customHeight="1">
      <c r="P18" s="1190"/>
      <c r="AD18" s="1237"/>
      <c r="AE18" s="1237"/>
      <c r="AF18" s="1237"/>
      <c r="AG18" s="245" t="str">
        <f>AH17&amp;"-"&amp;AJ17</f>
        <v>-</v>
      </c>
      <c r="AH18" s="16130"/>
      <c r="AI18" s="16130"/>
      <c r="AJ18" s="16130"/>
      <c r="AK18" s="16130"/>
    </row>
    <row r="19" spans="1:44" ht="14.25" hidden="1" customHeight="1">
      <c r="P19" s="1190"/>
      <c r="AK19" s="244"/>
    </row>
    <row r="20" spans="1:44" s="14419" customFormat="1" ht="22.5" hidden="1" customHeight="1">
      <c r="L20" s="1207"/>
      <c r="M20" s="1239"/>
      <c r="N20" s="1239"/>
      <c r="O20" s="1244" t="s">
        <v>552</v>
      </c>
      <c r="P20" s="1239"/>
      <c r="Q20" s="1248"/>
      <c r="R20" s="1248"/>
      <c r="S20" s="629"/>
      <c r="Z20" s="1244"/>
      <c r="AB20" s="1244"/>
      <c r="AC20" s="1243"/>
      <c r="AH20" s="1244"/>
      <c r="AJ20" s="1244"/>
      <c r="AK20" s="1243"/>
      <c r="AN20" s="418"/>
      <c r="AO20" s="418"/>
      <c r="AP20" s="418"/>
      <c r="AQ20" s="418"/>
      <c r="AR20" s="418"/>
    </row>
    <row r="21" spans="1:44" s="14419" customFormat="1" ht="14.25" hidden="1" customHeight="1">
      <c r="L21" s="1207"/>
      <c r="M21" s="1239"/>
      <c r="N21" s="1239"/>
      <c r="O21" s="1239"/>
      <c r="P21" s="1239"/>
      <c r="Q21" s="1248"/>
      <c r="R21" s="1248"/>
      <c r="S21" s="629"/>
      <c r="AC21" s="1243"/>
      <c r="AK21" s="1243"/>
      <c r="AN21" s="418"/>
      <c r="AO21" s="418"/>
      <c r="AP21" s="418"/>
      <c r="AQ21" s="418"/>
      <c r="AR21" s="418"/>
    </row>
    <row r="22" spans="1:44" s="14419" customFormat="1" ht="14.25" hidden="1" customHeight="1">
      <c r="L22" s="1207"/>
      <c r="M22" s="1239"/>
      <c r="N22" s="1239"/>
      <c r="O22" s="1241" t="s">
        <v>553</v>
      </c>
      <c r="P22" s="1239"/>
      <c r="Q22" s="1248"/>
      <c r="R22" s="1248"/>
      <c r="S22" s="629"/>
      <c r="T22" s="1041" t="s">
        <v>554</v>
      </c>
      <c r="AA22" s="108" t="s">
        <v>555</v>
      </c>
      <c r="AC22" s="108" t="s">
        <v>556</v>
      </c>
      <c r="AD22" s="1041" t="s">
        <v>554</v>
      </c>
      <c r="AI22" s="108" t="s">
        <v>557</v>
      </c>
      <c r="AK22" s="108" t="s">
        <v>556</v>
      </c>
      <c r="AN22" s="418"/>
      <c r="AO22" s="418"/>
      <c r="AP22" s="418"/>
      <c r="AQ22" s="418"/>
      <c r="AR22" s="418"/>
    </row>
    <row r="23" spans="1:44" ht="14.25" hidden="1" customHeight="1">
      <c r="O23" s="1241"/>
      <c r="P23" s="1190"/>
    </row>
    <row r="24" spans="1:44" ht="14.25" hidden="1" customHeight="1">
      <c r="O24" s="1241"/>
      <c r="P24" s="1190"/>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161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6108"/>
      <c r="U26" s="16108"/>
      <c r="V26" s="16108"/>
      <c r="W26" s="16108"/>
      <c r="X26" s="16108"/>
      <c r="Y26" s="16108"/>
      <c r="Z26" s="16108"/>
      <c r="AA26" s="16108"/>
      <c r="AB26" s="16108"/>
      <c r="AC26" s="16108"/>
      <c r="AD26" s="16108"/>
      <c r="AE26" s="16108"/>
      <c r="AF26" s="16108"/>
      <c r="AG26" s="16108"/>
      <c r="AH26" s="16108"/>
      <c r="AI26" s="16108"/>
      <c r="AJ26" s="16108"/>
      <c r="AK26" s="1125"/>
    </row>
    <row r="27" spans="1:44" ht="14.25" customHeight="1">
      <c r="Q27" s="291"/>
      <c r="R27" s="291"/>
      <c r="S27" s="16056" t="str">
        <f>IF(org=0,"Не определено",org)</f>
        <v>АО "Мурманэнергосбыт"</v>
      </c>
      <c r="T27" s="16056"/>
      <c r="U27" s="16056"/>
      <c r="V27" s="16056"/>
      <c r="W27" s="16056"/>
      <c r="X27" s="16056"/>
      <c r="Y27" s="16056"/>
      <c r="Z27" s="16056"/>
      <c r="AA27" s="16056"/>
      <c r="AB27" s="16056"/>
      <c r="AC27" s="16056"/>
      <c r="AD27" s="16056"/>
      <c r="AE27" s="16056"/>
      <c r="AF27" s="16056"/>
      <c r="AG27" s="16056"/>
      <c r="AH27" s="16056"/>
      <c r="AI27" s="16056"/>
      <c r="AJ27" s="16056"/>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4420" customFormat="1" ht="25.5" customHeight="1">
      <c r="A29" s="1245"/>
      <c r="B29" s="1245"/>
      <c r="C29" s="1245"/>
      <c r="D29" s="1245"/>
      <c r="E29" s="1245"/>
      <c r="F29" s="1245"/>
      <c r="G29" s="1245"/>
      <c r="H29" s="1245"/>
      <c r="I29" s="1245"/>
      <c r="J29" s="1245"/>
      <c r="K29" s="1245"/>
      <c r="L29" s="1246"/>
      <c r="M29" s="1245"/>
      <c r="N29" s="1245"/>
      <c r="O29" s="1245"/>
      <c r="S29" s="16116" t="s">
        <v>38</v>
      </c>
      <c r="T29" s="16116"/>
      <c r="U29" s="1249"/>
      <c r="V29" s="16117" t="str">
        <f>IF(TITLE_NAME_OR_PR_CHANGE="",IF(TITLE_NAME_OR_PR="","",TITLE_NAME_OR_PR),TITLE_NAME_OR_PR_CHANGE)</f>
        <v>Комитет по тарифному регулированию Мурманской области</v>
      </c>
      <c r="W29" s="16117"/>
      <c r="X29" s="16117"/>
      <c r="Y29" s="16117"/>
      <c r="Z29" s="16117"/>
      <c r="AA29" s="16117"/>
      <c r="AB29" s="16117"/>
      <c r="AC29" s="243"/>
      <c r="AD29" s="16117" t="str">
        <f>IF(TITLE_NAME_OR_PR_CHANGE="",IF(TITLE_NAME_OR_PR="","",TITLE_NAME_OR_PR),TITLE_NAME_OR_PR_CHANGE)</f>
        <v>Комитет по тарифному регулированию Мурманской области</v>
      </c>
      <c r="AE29" s="16117"/>
      <c r="AF29" s="16117"/>
      <c r="AG29" s="16117"/>
      <c r="AH29" s="16117"/>
      <c r="AI29" s="16117"/>
      <c r="AJ29" s="16117"/>
      <c r="AK29" s="243"/>
      <c r="AL29" s="243"/>
      <c r="AM29" s="198"/>
      <c r="AN29" s="283"/>
      <c r="AO29" s="283"/>
      <c r="AP29" s="283"/>
      <c r="AQ29" s="283"/>
      <c r="AR29" s="283"/>
    </row>
    <row r="30" spans="1:44" s="14420" customFormat="1" ht="18.75" customHeight="1">
      <c r="A30" s="1245"/>
      <c r="B30" s="1245"/>
      <c r="C30" s="1245"/>
      <c r="D30" s="1245"/>
      <c r="E30" s="1245"/>
      <c r="F30" s="1245"/>
      <c r="G30" s="1245"/>
      <c r="H30" s="1245"/>
      <c r="I30" s="1245"/>
      <c r="J30" s="1245"/>
      <c r="K30" s="1245"/>
      <c r="L30" s="1246"/>
      <c r="M30" s="1245"/>
      <c r="N30" s="1245"/>
      <c r="O30" s="1245"/>
      <c r="S30" s="16116" t="s">
        <v>558</v>
      </c>
      <c r="T30" s="16116"/>
      <c r="U30" s="1249"/>
      <c r="V30" s="16126">
        <f>IF(TITLE_DATE_PR_CHANGE="",IF(TITLE_DATE_PR="","",TITLE_DATE_PR),TITLE_DATE_PR_CHANGE)</f>
        <v>45379</v>
      </c>
      <c r="W30" s="16126"/>
      <c r="X30" s="16126"/>
      <c r="Y30" s="16126"/>
      <c r="Z30" s="16126"/>
      <c r="AA30" s="16126"/>
      <c r="AB30" s="16126"/>
      <c r="AC30" s="243"/>
      <c r="AD30" s="16126">
        <f>IF(TITLE_DATE_PR_CHANGE="",IF(TITLE_DATE_PR="","",TITLE_DATE_PR),TITLE_DATE_PR_CHANGE)</f>
        <v>45379</v>
      </c>
      <c r="AE30" s="16126"/>
      <c r="AF30" s="16126"/>
      <c r="AG30" s="16126"/>
      <c r="AH30" s="16126"/>
      <c r="AI30" s="16126"/>
      <c r="AJ30" s="16126"/>
      <c r="AK30" s="243"/>
      <c r="AL30" s="243"/>
      <c r="AM30" s="198"/>
      <c r="AN30" s="283"/>
      <c r="AO30" s="283"/>
      <c r="AP30" s="283"/>
      <c r="AQ30" s="283"/>
      <c r="AR30" s="283"/>
    </row>
    <row r="31" spans="1:44" s="14420" customFormat="1" ht="18.75" customHeight="1">
      <c r="A31" s="1245"/>
      <c r="B31" s="1245"/>
      <c r="C31" s="1245"/>
      <c r="D31" s="1245"/>
      <c r="E31" s="1245"/>
      <c r="F31" s="1245"/>
      <c r="G31" s="1245"/>
      <c r="H31" s="1245"/>
      <c r="I31" s="1245"/>
      <c r="J31" s="1245"/>
      <c r="K31" s="1245"/>
      <c r="L31" s="1246"/>
      <c r="M31" s="1245"/>
      <c r="N31" s="1245"/>
      <c r="O31" s="1245"/>
      <c r="S31" s="16116" t="s">
        <v>559</v>
      </c>
      <c r="T31" s="16116"/>
      <c r="U31" s="1249"/>
      <c r="V31" s="16117" t="str">
        <f>IF(TITLE_NUMBER_PR_CHANGE="",IF(TITLE_NUMBER_PR="","",TITLE_NUMBER_PR),TITLE_NUMBER_PR_CHANGE)</f>
        <v>8/6</v>
      </c>
      <c r="W31" s="16117"/>
      <c r="X31" s="16117"/>
      <c r="Y31" s="16117"/>
      <c r="Z31" s="16117"/>
      <c r="AA31" s="16117"/>
      <c r="AB31" s="16117"/>
      <c r="AC31" s="243"/>
      <c r="AD31" s="16117" t="str">
        <f>IF(TITLE_NUMBER_PR_CHANGE="",IF(TITLE_NUMBER_PR="","",TITLE_NUMBER_PR),TITLE_NUMBER_PR_CHANGE)</f>
        <v>8/6</v>
      </c>
      <c r="AE31" s="16117"/>
      <c r="AF31" s="16117"/>
      <c r="AG31" s="16117"/>
      <c r="AH31" s="16117"/>
      <c r="AI31" s="16117"/>
      <c r="AJ31" s="16117"/>
      <c r="AK31" s="243"/>
      <c r="AL31" s="243"/>
      <c r="AM31" s="198"/>
      <c r="AN31" s="283"/>
      <c r="AO31" s="283"/>
      <c r="AP31" s="283"/>
      <c r="AQ31" s="283"/>
      <c r="AR31" s="283"/>
    </row>
    <row r="32" spans="1:44" s="14420" customFormat="1" ht="18.75" customHeight="1">
      <c r="A32" s="1245"/>
      <c r="B32" s="1245"/>
      <c r="C32" s="1245"/>
      <c r="D32" s="1245"/>
      <c r="E32" s="1245"/>
      <c r="F32" s="1245"/>
      <c r="G32" s="1245"/>
      <c r="H32" s="1245"/>
      <c r="I32" s="1245"/>
      <c r="J32" s="1245"/>
      <c r="K32" s="1245"/>
      <c r="L32" s="1246"/>
      <c r="M32" s="1245"/>
      <c r="N32" s="1245"/>
      <c r="O32" s="1245"/>
      <c r="S32" s="16116" t="s">
        <v>40</v>
      </c>
      <c r="T32" s="16116"/>
      <c r="U32" s="1249"/>
      <c r="V32" s="16117" t="str">
        <f>IF(TITLE_IST_PUB_CHANGE="",IF(TITLE_IST_PUB="","",TITLE_IST_PUB),TITLE_IST_PUB_CHANGE)</f>
        <v>https://npa.gov-murman.ru/bitrix/components/b1team/govmurman.element.file/download.php?ID=518761&amp;FID=765125</v>
      </c>
      <c r="W32" s="16117"/>
      <c r="X32" s="16117"/>
      <c r="Y32" s="16117"/>
      <c r="Z32" s="16117"/>
      <c r="AA32" s="16117"/>
      <c r="AB32" s="16117"/>
      <c r="AC32" s="243"/>
      <c r="AD32" s="16117" t="str">
        <f>IF(TITLE_IST_PUB_CHANGE="",IF(TITLE_IST_PUB="","",TITLE_IST_PUB),TITLE_IST_PUB_CHANGE)</f>
        <v>https://npa.gov-murman.ru/bitrix/components/b1team/govmurman.element.file/download.php?ID=518761&amp;FID=765125</v>
      </c>
      <c r="AE32" s="16117"/>
      <c r="AF32" s="16117"/>
      <c r="AG32" s="16117"/>
      <c r="AH32" s="16117"/>
      <c r="AI32" s="16117"/>
      <c r="AJ32" s="16117"/>
      <c r="AK32" s="243"/>
      <c r="AL32" s="243"/>
      <c r="AM32" s="198"/>
      <c r="AN32" s="283"/>
      <c r="AO32" s="283"/>
      <c r="AP32" s="283"/>
      <c r="AQ32" s="283"/>
      <c r="AR32" s="283"/>
    </row>
    <row r="33" spans="1:44" ht="14.25" hidden="1" customHeight="1">
      <c r="P33" s="1206"/>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4420" customFormat="1" ht="18.75" hidden="1" customHeight="1">
      <c r="A34" s="1245"/>
      <c r="B34" s="1245"/>
      <c r="C34" s="1245"/>
      <c r="D34" s="1245"/>
      <c r="E34" s="1245"/>
      <c r="F34" s="1245"/>
      <c r="G34" s="1245"/>
      <c r="H34" s="1245"/>
      <c r="I34" s="1245"/>
      <c r="J34" s="1245"/>
      <c r="K34" s="1245"/>
      <c r="L34" s="1246"/>
      <c r="M34" s="1245"/>
      <c r="N34" s="1245"/>
      <c r="O34" s="1245"/>
      <c r="S34" s="16116" t="s">
        <v>560</v>
      </c>
      <c r="T34" s="16116"/>
      <c r="U34" s="1249"/>
      <c r="V34" s="16126">
        <f>IF(TITLE_DATE_PR_CHANGE="",IF(TITLE_DATE_PR="","",TITLE_DATE_PR),TITLE_DATE_PR_CHANGE)</f>
        <v>45379</v>
      </c>
      <c r="W34" s="16126"/>
      <c r="X34" s="16126"/>
      <c r="Y34" s="16126"/>
      <c r="Z34" s="16126"/>
      <c r="AA34" s="16126"/>
      <c r="AB34" s="16126"/>
      <c r="AC34" s="243"/>
      <c r="AD34" s="16126">
        <f>IF(TITLE_DATE_PR_CHANGE="",IF(TITLE_DATE_PR="","",TITLE_DATE_PR),TITLE_DATE_PR_CHANGE)</f>
        <v>45379</v>
      </c>
      <c r="AE34" s="16126"/>
      <c r="AF34" s="16126"/>
      <c r="AG34" s="16126"/>
      <c r="AH34" s="16126"/>
      <c r="AI34" s="16126"/>
      <c r="AJ34" s="16126"/>
      <c r="AK34" s="243"/>
      <c r="AL34" s="243"/>
      <c r="AM34" s="198"/>
      <c r="AN34" s="283"/>
      <c r="AO34" s="283"/>
      <c r="AP34" s="283"/>
      <c r="AQ34" s="283"/>
      <c r="AR34" s="283"/>
    </row>
    <row r="35" spans="1:44" s="14420" customFormat="1" ht="18.75" hidden="1" customHeight="1">
      <c r="A35" s="1245"/>
      <c r="B35" s="1245"/>
      <c r="C35" s="1245"/>
      <c r="D35" s="1245"/>
      <c r="E35" s="1245"/>
      <c r="F35" s="1245"/>
      <c r="G35" s="1245"/>
      <c r="H35" s="1245"/>
      <c r="I35" s="1245"/>
      <c r="J35" s="1245"/>
      <c r="K35" s="1245"/>
      <c r="L35" s="1246"/>
      <c r="M35" s="1245"/>
      <c r="N35" s="1245"/>
      <c r="O35" s="1245"/>
      <c r="S35" s="16116" t="s">
        <v>561</v>
      </c>
      <c r="T35" s="16116"/>
      <c r="U35" s="1249"/>
      <c r="V35" s="16117" t="str">
        <f>IF(TITLE_NUMBER_PR_CHANGE="",IF(TITLE_NUMBER_PR="","",TITLE_NUMBER_PR),TITLE_NUMBER_PR_CHANGE)</f>
        <v>8/6</v>
      </c>
      <c r="W35" s="16117"/>
      <c r="X35" s="16117"/>
      <c r="Y35" s="16117"/>
      <c r="Z35" s="16117"/>
      <c r="AA35" s="16117"/>
      <c r="AB35" s="16117"/>
      <c r="AC35" s="243"/>
      <c r="AD35" s="16117" t="str">
        <f>IF(TITLE_NUMBER_PR_CHANGE="",IF(TITLE_NUMBER_PR="","",TITLE_NUMBER_PR),TITLE_NUMBER_PR_CHANGE)</f>
        <v>8/6</v>
      </c>
      <c r="AE35" s="16117"/>
      <c r="AF35" s="16117"/>
      <c r="AG35" s="16117"/>
      <c r="AH35" s="16117"/>
      <c r="AI35" s="16117"/>
      <c r="AJ35" s="16117"/>
      <c r="AK35" s="243"/>
      <c r="AL35" s="243"/>
      <c r="AM35" s="198"/>
      <c r="AN35" s="283"/>
      <c r="AO35" s="283"/>
      <c r="AP35" s="283"/>
      <c r="AQ35" s="283"/>
      <c r="AR35" s="283"/>
    </row>
    <row r="36" spans="1:44" s="14420" customFormat="1" ht="0" hidden="1" customHeight="1">
      <c r="A36" s="1245"/>
      <c r="B36" s="1245"/>
      <c r="C36" s="1245"/>
      <c r="D36" s="1245"/>
      <c r="E36" s="1245"/>
      <c r="F36" s="1245"/>
      <c r="G36" s="1245"/>
      <c r="H36" s="1245"/>
      <c r="I36" s="1245"/>
      <c r="J36" s="1245"/>
      <c r="K36" s="1245"/>
      <c r="L36" s="1246"/>
      <c r="M36" s="1245"/>
      <c r="N36" s="1245"/>
      <c r="O36" s="1245"/>
      <c r="S36" s="240"/>
      <c r="T36" s="240"/>
      <c r="U36" s="1101"/>
      <c r="V36" s="243"/>
      <c r="W36" s="243"/>
      <c r="X36" s="243"/>
      <c r="Y36" s="243"/>
      <c r="Z36" s="243"/>
      <c r="AA36" s="243"/>
      <c r="AB36" s="243"/>
      <c r="AC36" s="196" t="s">
        <v>562</v>
      </c>
      <c r="AD36" s="243"/>
      <c r="AE36" s="243"/>
      <c r="AF36" s="243"/>
      <c r="AG36" s="243"/>
      <c r="AH36" s="243"/>
      <c r="AI36" s="243"/>
      <c r="AJ36" s="243"/>
      <c r="AK36" s="196" t="s">
        <v>562</v>
      </c>
      <c r="AN36" s="283"/>
      <c r="AO36" s="283"/>
      <c r="AP36" s="283"/>
      <c r="AQ36" s="283"/>
      <c r="AR36" s="283"/>
    </row>
    <row r="37" spans="1:44" ht="14.25" customHeight="1">
      <c r="Q37" s="291"/>
      <c r="R37" s="291"/>
      <c r="S37" s="1157"/>
      <c r="T37" s="279"/>
      <c r="U37" s="1126"/>
      <c r="V37" s="16118"/>
      <c r="W37" s="16118"/>
      <c r="X37" s="16118"/>
      <c r="Y37" s="16118"/>
      <c r="Z37" s="16118"/>
      <c r="AA37" s="16118"/>
      <c r="AB37" s="16118"/>
      <c r="AC37" s="16118"/>
      <c r="AD37" s="16118"/>
      <c r="AE37" s="16118"/>
      <c r="AF37" s="16118"/>
      <c r="AG37" s="16118"/>
      <c r="AH37" s="16118"/>
      <c r="AI37" s="16118"/>
      <c r="AJ37" s="16118"/>
      <c r="AK37" s="16118"/>
    </row>
    <row r="38" spans="1:44" ht="14.25" customHeight="1">
      <c r="Q38" s="291"/>
      <c r="R38" s="291"/>
      <c r="S38" s="15992" t="s">
        <v>437</v>
      </c>
      <c r="T38" s="15992"/>
      <c r="U38" s="15992"/>
      <c r="V38" s="15992"/>
      <c r="W38" s="15992"/>
      <c r="X38" s="15992"/>
      <c r="Y38" s="15992"/>
      <c r="Z38" s="15992"/>
      <c r="AA38" s="15992"/>
      <c r="AB38" s="15992"/>
      <c r="AC38" s="15992"/>
      <c r="AD38" s="15992"/>
      <c r="AE38" s="15992"/>
      <c r="AF38" s="15992"/>
      <c r="AG38" s="15992"/>
      <c r="AH38" s="15992"/>
      <c r="AI38" s="15992"/>
      <c r="AJ38" s="15992"/>
      <c r="AK38" s="15992"/>
      <c r="AL38" s="15992"/>
      <c r="AM38" s="15992" t="s">
        <v>438</v>
      </c>
    </row>
    <row r="39" spans="1:44" ht="14.25" customHeight="1">
      <c r="Q39" s="291"/>
      <c r="R39" s="291"/>
      <c r="S39" s="16132" t="s">
        <v>87</v>
      </c>
      <c r="T39" s="16084" t="s">
        <v>563</v>
      </c>
      <c r="U39" s="218"/>
      <c r="V39" s="16133" t="s">
        <v>564</v>
      </c>
      <c r="W39" s="16134"/>
      <c r="X39" s="16134"/>
      <c r="Y39" s="16134"/>
      <c r="Z39" s="16134"/>
      <c r="AA39" s="16134"/>
      <c r="AB39" s="16135"/>
      <c r="AC39" s="16136" t="s">
        <v>565</v>
      </c>
      <c r="AD39" s="16133" t="s">
        <v>564</v>
      </c>
      <c r="AE39" s="16134"/>
      <c r="AF39" s="16134"/>
      <c r="AG39" s="16134"/>
      <c r="AH39" s="16134"/>
      <c r="AI39" s="16134"/>
      <c r="AJ39" s="16135"/>
      <c r="AK39" s="16136" t="s">
        <v>566</v>
      </c>
      <c r="AL39" s="16139" t="s">
        <v>567</v>
      </c>
      <c r="AM39" s="15992"/>
    </row>
    <row r="40" spans="1:44" ht="33.75" customHeight="1">
      <c r="Q40" s="291"/>
      <c r="R40" s="291"/>
      <c r="S40" s="16132"/>
      <c r="T40" s="16084"/>
      <c r="U40" s="919"/>
      <c r="V40" s="16055" t="s">
        <v>568</v>
      </c>
      <c r="W40" s="16142" t="s">
        <v>569</v>
      </c>
      <c r="X40" s="15963" t="s">
        <v>570</v>
      </c>
      <c r="Y40" s="15962"/>
      <c r="Z40" s="15963" t="s">
        <v>571</v>
      </c>
      <c r="AA40" s="15968"/>
      <c r="AB40" s="15962"/>
      <c r="AC40" s="16137"/>
      <c r="AD40" s="16055" t="s">
        <v>568</v>
      </c>
      <c r="AE40" s="16142" t="s">
        <v>569</v>
      </c>
      <c r="AF40" s="15963" t="s">
        <v>570</v>
      </c>
      <c r="AG40" s="15962"/>
      <c r="AH40" s="15963" t="s">
        <v>571</v>
      </c>
      <c r="AI40" s="15968"/>
      <c r="AJ40" s="15962"/>
      <c r="AK40" s="16137"/>
      <c r="AL40" s="16140"/>
      <c r="AM40" s="15992"/>
    </row>
    <row r="41" spans="1:44" ht="33.75" customHeight="1">
      <c r="A41" s="1247"/>
      <c r="B41" s="1247" t="s">
        <v>170</v>
      </c>
      <c r="C41" s="1247" t="s">
        <v>171</v>
      </c>
      <c r="D41" s="1247" t="s">
        <v>172</v>
      </c>
      <c r="E41" s="1241" t="s">
        <v>572</v>
      </c>
      <c r="F41" s="1241" t="s">
        <v>573</v>
      </c>
      <c r="G41" s="1241" t="s">
        <v>574</v>
      </c>
      <c r="H41" s="1241" t="s">
        <v>575</v>
      </c>
      <c r="I41" s="1241" t="s">
        <v>576</v>
      </c>
      <c r="J41" s="1241" t="s">
        <v>577</v>
      </c>
      <c r="K41" s="1241" t="s">
        <v>578</v>
      </c>
      <c r="L41" s="1241" t="s">
        <v>553</v>
      </c>
      <c r="Q41" s="291"/>
      <c r="R41" s="291"/>
      <c r="S41" s="16132"/>
      <c r="T41" s="16084"/>
      <c r="U41" s="219"/>
      <c r="V41" s="16103"/>
      <c r="W41" s="16143"/>
      <c r="X41" s="1104" t="s">
        <v>579</v>
      </c>
      <c r="Y41" s="1104" t="s">
        <v>580</v>
      </c>
      <c r="Z41" s="1103" t="s">
        <v>581</v>
      </c>
      <c r="AA41" s="16092" t="s">
        <v>582</v>
      </c>
      <c r="AB41" s="16094"/>
      <c r="AC41" s="16138"/>
      <c r="AD41" s="16103"/>
      <c r="AE41" s="16143"/>
      <c r="AF41" s="1104" t="s">
        <v>579</v>
      </c>
      <c r="AG41" s="1104" t="s">
        <v>580</v>
      </c>
      <c r="AH41" s="1192" t="s">
        <v>581</v>
      </c>
      <c r="AI41" s="16092" t="s">
        <v>582</v>
      </c>
      <c r="AJ41" s="16094"/>
      <c r="AK41" s="16138"/>
      <c r="AL41" s="16141"/>
      <c r="AM41" s="15992"/>
    </row>
    <row r="42" spans="1:44" s="14405"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147</v>
      </c>
      <c r="T42" s="1137" t="s">
        <v>102</v>
      </c>
      <c r="U42" s="1127" t="str">
        <f ca="1">OFFSET(U42,0,-1)</f>
        <v>2</v>
      </c>
      <c r="V42" s="1138">
        <f ca="1">OFFSET(V42,0,-1)+1</f>
        <v>3</v>
      </c>
      <c r="W42" s="1138"/>
      <c r="X42" s="1138">
        <f ca="1">OFFSET(X42,0,-1)+1</f>
        <v>1</v>
      </c>
      <c r="Y42" s="1138">
        <f ca="1">OFFSET(Y42,0,-1)+1</f>
        <v>2</v>
      </c>
      <c r="Z42" s="1138">
        <f ca="1">OFFSET(Z42,0,-1)+1</f>
        <v>3</v>
      </c>
      <c r="AA42" s="16131">
        <f ca="1">OFFSET(AA42,0,-1)+1</f>
        <v>4</v>
      </c>
      <c r="AB42" s="16131"/>
      <c r="AC42" s="1138">
        <f ca="1">OFFSET(AC42,0,-2)+1</f>
        <v>5</v>
      </c>
      <c r="AD42" s="1191">
        <f ca="1">OFFSET(AD42,0,-1)+1</f>
        <v>6</v>
      </c>
      <c r="AE42" s="1191"/>
      <c r="AF42" s="1191">
        <f ca="1">OFFSET(AF42,0,-1)+1</f>
        <v>1</v>
      </c>
      <c r="AG42" s="1191">
        <f ca="1">OFFSET(AG42,0,-1)+1</f>
        <v>2</v>
      </c>
      <c r="AH42" s="1191">
        <f ca="1">OFFSET(AH42,0,-1)+1</f>
        <v>3</v>
      </c>
      <c r="AI42" s="16131">
        <f ca="1">OFFSET(AI42,0,-1)+1</f>
        <v>4</v>
      </c>
      <c r="AJ42" s="16131"/>
      <c r="AK42" s="1191">
        <f ca="1">OFFSET(AK42,0,-2)+1</f>
        <v>5</v>
      </c>
      <c r="AL42" s="1127">
        <f ca="1">OFFSET(AL42,0,-1)</f>
        <v>5</v>
      </c>
      <c r="AM42" s="1138">
        <f ca="1">OFFSET(AM42,0,-1)+1</f>
        <v>6</v>
      </c>
      <c r="AN42" s="418"/>
      <c r="AO42" s="418"/>
      <c r="AP42" s="418"/>
      <c r="AQ42" s="418"/>
      <c r="AR42" s="418"/>
    </row>
    <row r="43" spans="1:44" ht="23.25" customHeight="1">
      <c r="A43" s="1240" t="s">
        <v>187</v>
      </c>
      <c r="B43" s="1240"/>
      <c r="C43" s="1240"/>
      <c r="D43" s="1240"/>
      <c r="E43" s="16124">
        <v>1</v>
      </c>
      <c r="F43" s="1240"/>
      <c r="G43" s="1240"/>
      <c r="H43" s="1240"/>
      <c r="I43" s="1240"/>
      <c r="J43" s="1240"/>
      <c r="K43" s="1240"/>
      <c r="L43" s="1241"/>
      <c r="M43" s="1242"/>
      <c r="N43" s="1242"/>
      <c r="O43" s="1242"/>
      <c r="P43" s="277"/>
      <c r="Q43" s="276"/>
      <c r="R43" s="271"/>
      <c r="S43" s="1106">
        <f>INDEX(PT_DIFFERENTIATION_NUM_NTAR,MATCH(A43,PT_DIFFERENTIATION_NTAR_ID,0))</f>
        <v>0</v>
      </c>
      <c r="T43" s="215" t="s">
        <v>158</v>
      </c>
      <c r="U43" s="217"/>
      <c r="V43" s="16110"/>
      <c r="W43" s="16111"/>
      <c r="X43" s="16111"/>
      <c r="Y43" s="16111"/>
      <c r="Z43" s="16111"/>
      <c r="AA43" s="16111"/>
      <c r="AB43" s="16111"/>
      <c r="AC43" s="16112"/>
      <c r="AD43" s="16110" t="str">
        <f>INDEX(PT_DIFFERENTIATION_NTAR,MATCH(A43,PT_DIFFERENTIATION_NTAR_ID,0))</f>
        <v/>
      </c>
      <c r="AE43" s="16111"/>
      <c r="AF43" s="16111"/>
      <c r="AG43" s="16111"/>
      <c r="AH43" s="16111"/>
      <c r="AI43" s="16111"/>
      <c r="AJ43" s="16111"/>
      <c r="AK43" s="16111"/>
      <c r="AL43" s="16112"/>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3.25" customHeight="1">
      <c r="A44" s="1240" t="s">
        <v>187</v>
      </c>
      <c r="B44" s="1240" t="s">
        <v>188</v>
      </c>
      <c r="C44" s="1240"/>
      <c r="D44" s="1240"/>
      <c r="E44" s="16125"/>
      <c r="F44" s="16124">
        <v>1</v>
      </c>
      <c r="G44" s="1240"/>
      <c r="H44" s="1240"/>
      <c r="I44" s="1240"/>
      <c r="J44" s="1240"/>
      <c r="K44" s="1240"/>
      <c r="L44" s="1241"/>
      <c r="M44" s="1242"/>
      <c r="N44" s="1242"/>
      <c r="O44" s="1242"/>
      <c r="P44" s="429"/>
      <c r="Q44" s="268"/>
      <c r="R44" s="269"/>
      <c r="S44" s="1106" t="str">
        <f>INDEX(PT_DIFFERENTIATION_NUM_TER,MATCH(B44,PT_DIFFERENTIATION_TER_ID,0))</f>
        <v>.</v>
      </c>
      <c r="T44" s="225" t="s">
        <v>534</v>
      </c>
      <c r="U44" s="217"/>
      <c r="V44" s="16110"/>
      <c r="W44" s="16111"/>
      <c r="X44" s="16111"/>
      <c r="Y44" s="16111"/>
      <c r="Z44" s="16111"/>
      <c r="AA44" s="16111"/>
      <c r="AB44" s="16111"/>
      <c r="AC44" s="16112"/>
      <c r="AD44" s="16110" t="str">
        <f>INDEX(PT_DIFFERENTIATION_TER,MATCH(B44,PT_DIFFERENTIATION_TER_ID,0))</f>
        <v/>
      </c>
      <c r="AE44" s="16111"/>
      <c r="AF44" s="16111"/>
      <c r="AG44" s="16111"/>
      <c r="AH44" s="16111"/>
      <c r="AI44" s="16111"/>
      <c r="AJ44" s="16111"/>
      <c r="AK44" s="16111"/>
      <c r="AL44" s="16112"/>
      <c r="AM44" s="1140" t="s">
        <v>535</v>
      </c>
      <c r="AO44" s="407"/>
      <c r="AP44" s="407" t="str">
        <f t="shared" si="1"/>
        <v>Территория действия тарифа</v>
      </c>
      <c r="AQ44" s="407"/>
      <c r="AR44" s="407"/>
    </row>
    <row r="45" spans="1:44" ht="23.25" customHeight="1">
      <c r="A45" s="1240" t="s">
        <v>187</v>
      </c>
      <c r="B45" s="1240" t="s">
        <v>188</v>
      </c>
      <c r="C45" s="1240" t="s">
        <v>189</v>
      </c>
      <c r="D45" s="1240"/>
      <c r="E45" s="16125"/>
      <c r="F45" s="16125"/>
      <c r="G45" s="16124">
        <v>1</v>
      </c>
      <c r="H45" s="1240"/>
      <c r="I45" s="1240"/>
      <c r="J45" s="1240"/>
      <c r="K45" s="1240"/>
      <c r="L45" s="1241"/>
      <c r="M45" s="1242"/>
      <c r="N45" s="1242"/>
      <c r="O45" s="1242"/>
      <c r="P45" s="270"/>
      <c r="Q45" s="268"/>
      <c r="R45" s="269"/>
      <c r="S45" s="1106" t="str">
        <f>INDEX(PT_DIFFERENTIATION_NUM_CS,MATCH(C45,PT_DIFFERENTIATION_CS_ID,0))</f>
        <v>..</v>
      </c>
      <c r="T45" s="226" t="s">
        <v>536</v>
      </c>
      <c r="U45" s="217"/>
      <c r="V45" s="16110"/>
      <c r="W45" s="16111"/>
      <c r="X45" s="16111"/>
      <c r="Y45" s="16111"/>
      <c r="Z45" s="16111"/>
      <c r="AA45" s="16111"/>
      <c r="AB45" s="16111"/>
      <c r="AC45" s="16112"/>
      <c r="AD45" s="16110" t="str">
        <f>INDEX(PT_DIFFERENTIATION_CS,MATCH(C45,PT_DIFFERENTIATION_CS_ID,0))</f>
        <v/>
      </c>
      <c r="AE45" s="16111"/>
      <c r="AF45" s="16111"/>
      <c r="AG45" s="16111"/>
      <c r="AH45" s="16111"/>
      <c r="AI45" s="16111"/>
      <c r="AJ45" s="16111"/>
      <c r="AK45" s="16111"/>
      <c r="AL45" s="16112"/>
      <c r="AM45" s="1140" t="s">
        <v>537</v>
      </c>
      <c r="AO45" s="407"/>
      <c r="AP45" s="407" t="str">
        <f t="shared" si="1"/>
        <v xml:space="preserve">Наименование системы теплоснабжения </v>
      </c>
      <c r="AQ45" s="407"/>
      <c r="AR45" s="407"/>
    </row>
    <row r="46" spans="1:44" ht="23.25" customHeight="1">
      <c r="A46" s="1240" t="s">
        <v>187</v>
      </c>
      <c r="B46" s="1240" t="s">
        <v>188</v>
      </c>
      <c r="C46" s="1240" t="s">
        <v>189</v>
      </c>
      <c r="D46" s="1240" t="s">
        <v>190</v>
      </c>
      <c r="E46" s="16125"/>
      <c r="F46" s="16125"/>
      <c r="G46" s="16125"/>
      <c r="H46" s="16124">
        <v>1</v>
      </c>
      <c r="I46" s="1240"/>
      <c r="J46" s="1240"/>
      <c r="K46" s="1240"/>
      <c r="L46" s="1241"/>
      <c r="M46" s="1242"/>
      <c r="N46" s="1242"/>
      <c r="O46" s="1242"/>
      <c r="P46" s="270"/>
      <c r="Q46" s="268"/>
      <c r="R46" s="269"/>
      <c r="S46" s="1106" t="str">
        <f>INDEX(PT_DIFFERENTIATION_NUM_IST_TE,MATCH(D46,PT_DIFFERENTIATION_IST_TE_ID,0))</f>
        <v>...</v>
      </c>
      <c r="T46" s="227" t="s">
        <v>538</v>
      </c>
      <c r="U46" s="217"/>
      <c r="V46" s="16110"/>
      <c r="W46" s="16111"/>
      <c r="X46" s="16111"/>
      <c r="Y46" s="16111"/>
      <c r="Z46" s="16111"/>
      <c r="AA46" s="16111"/>
      <c r="AB46" s="16111"/>
      <c r="AC46" s="16112"/>
      <c r="AD46" s="16110" t="str">
        <f>INDEX(PT_DIFFERENTIATION_IST_TE,MATCH(D46,PT_DIFFERENTIATION_IST_TE_ID,0))</f>
        <v/>
      </c>
      <c r="AE46" s="16111"/>
      <c r="AF46" s="16111"/>
      <c r="AG46" s="16111"/>
      <c r="AH46" s="16111"/>
      <c r="AI46" s="16111"/>
      <c r="AJ46" s="16111"/>
      <c r="AK46" s="16111"/>
      <c r="AL46" s="16112"/>
      <c r="AM46" s="1140" t="s">
        <v>539</v>
      </c>
      <c r="AO46" s="407"/>
      <c r="AP46" s="407" t="str">
        <f t="shared" si="1"/>
        <v xml:space="preserve">Источник тепловой энергии  </v>
      </c>
      <c r="AQ46" s="407"/>
      <c r="AR46" s="407"/>
    </row>
    <row r="47" spans="1:44" ht="47.25" customHeight="1">
      <c r="A47" s="1240" t="s">
        <v>187</v>
      </c>
      <c r="B47" s="1240" t="s">
        <v>188</v>
      </c>
      <c r="C47" s="1240" t="s">
        <v>189</v>
      </c>
      <c r="D47" s="1240" t="s">
        <v>190</v>
      </c>
      <c r="E47" s="16125"/>
      <c r="F47" s="16125"/>
      <c r="G47" s="16125"/>
      <c r="H47" s="16125"/>
      <c r="I47" s="16122" t="str">
        <f>S46&amp;".1"</f>
        <v>....1</v>
      </c>
      <c r="J47" s="1240"/>
      <c r="K47" s="1240"/>
      <c r="L47" s="1241" t="s">
        <v>540</v>
      </c>
      <c r="P47" s="16123">
        <v>1</v>
      </c>
      <c r="Q47" s="1102"/>
      <c r="R47" s="272"/>
      <c r="S47" s="1106" t="str">
        <f>$I47</f>
        <v>....1</v>
      </c>
      <c r="T47" s="202" t="s">
        <v>541</v>
      </c>
      <c r="U47" s="217"/>
      <c r="V47" s="16113"/>
      <c r="W47" s="16114"/>
      <c r="X47" s="16114"/>
      <c r="Y47" s="16114"/>
      <c r="Z47" s="16114"/>
      <c r="AA47" s="16114"/>
      <c r="AB47" s="16114"/>
      <c r="AC47" s="16115"/>
      <c r="AD47" s="16113"/>
      <c r="AE47" s="16114"/>
      <c r="AF47" s="16114"/>
      <c r="AG47" s="16114"/>
      <c r="AH47" s="16114"/>
      <c r="AI47" s="16114"/>
      <c r="AJ47" s="16114"/>
      <c r="AK47" s="16114"/>
      <c r="AL47" s="16115"/>
      <c r="AM47" s="1140" t="s">
        <v>542</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0" t="s">
        <v>187</v>
      </c>
      <c r="B48" s="1240" t="s">
        <v>188</v>
      </c>
      <c r="C48" s="1240" t="s">
        <v>189</v>
      </c>
      <c r="D48" s="1240" t="s">
        <v>190</v>
      </c>
      <c r="E48" s="16125"/>
      <c r="F48" s="16125"/>
      <c r="G48" s="16125"/>
      <c r="H48" s="16125"/>
      <c r="I48" s="16145"/>
      <c r="J48" s="16122" t="str">
        <f>I47&amp;".1"</f>
        <v>....1.1</v>
      </c>
      <c r="K48" s="1240"/>
      <c r="L48" s="1241" t="s">
        <v>543</v>
      </c>
      <c r="P48" s="16123"/>
      <c r="Q48" s="16123">
        <v>1</v>
      </c>
      <c r="R48" s="273"/>
      <c r="S48" s="1106" t="str">
        <f>$J48</f>
        <v>....1.1</v>
      </c>
      <c r="T48" s="203" t="s">
        <v>544</v>
      </c>
      <c r="U48" s="217"/>
      <c r="V48" s="16113"/>
      <c r="W48" s="16114"/>
      <c r="X48" s="16114"/>
      <c r="Y48" s="16114"/>
      <c r="Z48" s="16114"/>
      <c r="AA48" s="16114"/>
      <c r="AB48" s="16114"/>
      <c r="AC48" s="16115"/>
      <c r="AD48" s="16113"/>
      <c r="AE48" s="16114"/>
      <c r="AF48" s="16114"/>
      <c r="AG48" s="16114"/>
      <c r="AH48" s="16114"/>
      <c r="AI48" s="16114"/>
      <c r="AJ48" s="16114"/>
      <c r="AK48" s="16114"/>
      <c r="AL48" s="16115"/>
      <c r="AM48" s="1140" t="s">
        <v>545</v>
      </c>
      <c r="AO48" s="407"/>
      <c r="AP48" s="407" t="str">
        <f t="shared" si="1"/>
        <v>Группа потребителей</v>
      </c>
      <c r="AQ48" s="407"/>
      <c r="AR48" s="407"/>
    </row>
    <row r="49" spans="1:44" ht="23.25" customHeight="1">
      <c r="A49" s="1240" t="s">
        <v>187</v>
      </c>
      <c r="B49" s="1240" t="s">
        <v>188</v>
      </c>
      <c r="C49" s="1240" t="s">
        <v>189</v>
      </c>
      <c r="D49" s="1240" t="s">
        <v>190</v>
      </c>
      <c r="E49" s="16125"/>
      <c r="F49" s="16125"/>
      <c r="G49" s="16125"/>
      <c r="H49" s="16125"/>
      <c r="I49" s="16145"/>
      <c r="J49" s="16145"/>
      <c r="K49" s="16122" t="str">
        <f>J48&amp;".1"</f>
        <v>....1.1.1</v>
      </c>
      <c r="L49" s="1241" t="s">
        <v>546</v>
      </c>
      <c r="P49" s="16123"/>
      <c r="Q49" s="16123"/>
      <c r="R49" s="273">
        <v>1</v>
      </c>
      <c r="S49" s="1106" t="str">
        <f>$K49</f>
        <v>....1.1.1</v>
      </c>
      <c r="T49" s="1225"/>
      <c r="U49" s="217"/>
      <c r="V49" s="649"/>
      <c r="W49" s="242"/>
      <c r="X49" s="649"/>
      <c r="Y49" s="1139"/>
      <c r="Z49" s="16127"/>
      <c r="AA49" s="15973" t="s">
        <v>66</v>
      </c>
      <c r="AB49" s="16127"/>
      <c r="AC49" s="15973" t="s">
        <v>66</v>
      </c>
      <c r="AD49" s="649"/>
      <c r="AE49" s="242"/>
      <c r="AF49" s="649"/>
      <c r="AG49" s="1139"/>
      <c r="AH49" s="16127"/>
      <c r="AI49" s="15973" t="s">
        <v>66</v>
      </c>
      <c r="AJ49" s="16146"/>
      <c r="AK49" s="15973" t="s">
        <v>66</v>
      </c>
      <c r="AL49" s="1226"/>
      <c r="AM49" s="16119" t="s">
        <v>547</v>
      </c>
      <c r="AN49" s="418" t="e">
        <f ca="1">STRCHECKDATE(V50:AL50)</f>
        <v>#NAME?</v>
      </c>
      <c r="AO49" s="407"/>
      <c r="AP49" s="407" t="str">
        <f t="shared" si="1"/>
        <v/>
      </c>
      <c r="AQ49" s="407"/>
      <c r="AR49" s="407"/>
    </row>
    <row r="50" spans="1:44" ht="0.75" customHeight="1">
      <c r="A50" s="1240" t="s">
        <v>187</v>
      </c>
      <c r="B50" s="1240" t="s">
        <v>188</v>
      </c>
      <c r="C50" s="1240" t="s">
        <v>189</v>
      </c>
      <c r="D50" s="1240" t="s">
        <v>190</v>
      </c>
      <c r="E50" s="16125"/>
      <c r="F50" s="16125"/>
      <c r="G50" s="16125"/>
      <c r="H50" s="16125"/>
      <c r="I50" s="16145"/>
      <c r="J50" s="16145"/>
      <c r="K50" s="16122"/>
      <c r="L50" s="1241"/>
      <c r="P50" s="16123"/>
      <c r="Q50" s="16123"/>
      <c r="R50" s="273"/>
      <c r="S50" s="1105"/>
      <c r="T50" s="217"/>
      <c r="U50" s="217"/>
      <c r="V50" s="242"/>
      <c r="W50" s="242"/>
      <c r="X50" s="242"/>
      <c r="Y50" s="245" t="str">
        <f>Z49&amp;"-"&amp;AB49</f>
        <v>-</v>
      </c>
      <c r="Z50" s="16128"/>
      <c r="AA50" s="15973"/>
      <c r="AB50" s="16128"/>
      <c r="AC50" s="15973"/>
      <c r="AD50" s="242"/>
      <c r="AE50" s="242"/>
      <c r="AF50" s="242"/>
      <c r="AG50" s="245" t="str">
        <f>AH49&amp;"-"&amp;AJ49</f>
        <v>-</v>
      </c>
      <c r="AH50" s="16128"/>
      <c r="AI50" s="15973"/>
      <c r="AJ50" s="16147"/>
      <c r="AK50" s="15973"/>
      <c r="AL50" s="1227"/>
      <c r="AM50" s="16120"/>
      <c r="AO50" s="407"/>
      <c r="AP50" s="407" t="str">
        <f t="shared" si="1"/>
        <v/>
      </c>
      <c r="AQ50" s="407"/>
      <c r="AR50" s="407"/>
    </row>
    <row r="51" spans="1:44" ht="11.25" customHeight="1">
      <c r="A51" s="1240" t="s">
        <v>187</v>
      </c>
      <c r="B51" s="1240" t="s">
        <v>188</v>
      </c>
      <c r="C51" s="1240" t="s">
        <v>189</v>
      </c>
      <c r="D51" s="1240" t="s">
        <v>190</v>
      </c>
      <c r="E51" s="16125"/>
      <c r="F51" s="16125"/>
      <c r="G51" s="16125"/>
      <c r="H51" s="16125"/>
      <c r="I51" s="16145"/>
      <c r="J51" s="16122"/>
      <c r="K51" s="1240"/>
      <c r="L51" s="1241"/>
      <c r="P51" s="16123"/>
      <c r="Q51" s="16123"/>
      <c r="R51" s="272"/>
      <c r="S51" s="1160"/>
      <c r="T51" s="205" t="s">
        <v>548</v>
      </c>
      <c r="U51" s="282"/>
      <c r="V51" s="282"/>
      <c r="W51" s="282"/>
      <c r="X51" s="282"/>
      <c r="Y51" s="282"/>
      <c r="Z51" s="282"/>
      <c r="AA51" s="282"/>
      <c r="AB51" s="282"/>
      <c r="AC51" s="282"/>
      <c r="AD51" s="282"/>
      <c r="AE51" s="282"/>
      <c r="AF51" s="282"/>
      <c r="AG51" s="282"/>
      <c r="AH51" s="282"/>
      <c r="AI51" s="282"/>
      <c r="AJ51" s="282"/>
      <c r="AK51" s="282"/>
      <c r="AL51" s="241"/>
      <c r="AM51" s="16121"/>
      <c r="AO51" s="407"/>
      <c r="AP51" s="407" t="str">
        <f t="shared" si="1"/>
        <v>Добавить вид теплоносителя (параметры теплоносителя)</v>
      </c>
      <c r="AQ51" s="407"/>
      <c r="AR51" s="407"/>
    </row>
    <row r="52" spans="1:44" ht="11.25" customHeight="1">
      <c r="A52" s="1240" t="s">
        <v>187</v>
      </c>
      <c r="B52" s="1240" t="s">
        <v>188</v>
      </c>
      <c r="C52" s="1240" t="s">
        <v>189</v>
      </c>
      <c r="D52" s="1240" t="s">
        <v>190</v>
      </c>
      <c r="E52" s="16125"/>
      <c r="F52" s="16125"/>
      <c r="G52" s="16125"/>
      <c r="H52" s="16125"/>
      <c r="I52" s="16122"/>
      <c r="J52" s="1240"/>
      <c r="K52" s="1240"/>
      <c r="L52" s="1241"/>
      <c r="P52" s="16123"/>
      <c r="Q52" s="1102"/>
      <c r="R52" s="272"/>
      <c r="S52" s="1160"/>
      <c r="T52" s="204" t="s">
        <v>549</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0" t="s">
        <v>187</v>
      </c>
      <c r="B53" s="1240" t="s">
        <v>188</v>
      </c>
      <c r="C53" s="1240" t="s">
        <v>189</v>
      </c>
      <c r="D53" s="1240" t="s">
        <v>190</v>
      </c>
      <c r="E53" s="16125"/>
      <c r="F53" s="16125"/>
      <c r="G53" s="16125"/>
      <c r="H53" s="16124"/>
      <c r="I53" s="1240"/>
      <c r="J53" s="1240"/>
      <c r="K53" s="1240"/>
      <c r="L53" s="1241"/>
      <c r="M53" s="1242"/>
      <c r="N53" s="1242"/>
      <c r="O53" s="443"/>
      <c r="P53" s="276"/>
      <c r="Q53" s="290"/>
      <c r="R53" s="271"/>
      <c r="S53" s="1160"/>
      <c r="T53" s="280" t="s">
        <v>550</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4418" customFormat="1" ht="0.75" customHeight="1">
      <c r="A54" s="1221" t="s">
        <v>187</v>
      </c>
      <c r="B54" s="1221" t="s">
        <v>188</v>
      </c>
      <c r="C54" s="1221" t="s">
        <v>189</v>
      </c>
      <c r="D54" s="1193"/>
      <c r="E54" s="16125"/>
      <c r="F54" s="16125"/>
      <c r="G54" s="16124"/>
      <c r="H54" s="1193"/>
      <c r="I54" s="1193"/>
      <c r="J54" s="1193"/>
      <c r="K54" s="1193"/>
      <c r="L54" s="1217"/>
      <c r="M54" s="1194"/>
      <c r="N54" s="1194"/>
      <c r="P54" s="1195"/>
      <c r="Q54" s="1196"/>
      <c r="R54" s="1195"/>
      <c r="S54" s="1201"/>
      <c r="T54" s="1204" t="s">
        <v>551</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4418" customFormat="1" ht="0.75" customHeight="1">
      <c r="A55" s="1221" t="s">
        <v>187</v>
      </c>
      <c r="B55" s="1221" t="s">
        <v>188</v>
      </c>
      <c r="C55" s="1193"/>
      <c r="D55" s="1193"/>
      <c r="E55" s="16125"/>
      <c r="F55" s="16124"/>
      <c r="G55" s="1193"/>
      <c r="H55" s="1193"/>
      <c r="I55" s="1193"/>
      <c r="J55" s="1193"/>
      <c r="K55" s="1193"/>
      <c r="L55" s="1217"/>
      <c r="M55" s="1200"/>
      <c r="N55" s="1200"/>
      <c r="P55" s="1195"/>
      <c r="Q55" s="1196"/>
      <c r="R55" s="1195"/>
      <c r="S55" s="1201"/>
      <c r="T55" s="1204" t="s">
        <v>290</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4421" customFormat="1" ht="0.75" customHeight="1">
      <c r="A56" s="1221" t="s">
        <v>187</v>
      </c>
      <c r="B56" s="1221"/>
      <c r="C56" s="1221"/>
      <c r="D56" s="1221"/>
      <c r="E56" s="16124"/>
      <c r="F56" s="1221"/>
      <c r="G56" s="1221"/>
      <c r="H56" s="1221"/>
      <c r="I56" s="1221"/>
      <c r="J56" s="1221"/>
      <c r="K56" s="1221"/>
      <c r="L56" s="1224"/>
      <c r="M56" s="1200"/>
      <c r="N56" s="1200"/>
      <c r="O56" s="425"/>
      <c r="P56" s="295"/>
      <c r="Q56" s="1222"/>
      <c r="R56" s="295"/>
      <c r="S56" s="1201"/>
      <c r="T56" s="1204" t="s">
        <v>326</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4418"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390</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5"/>
      <c r="T59" s="16144"/>
      <c r="U59" s="16144"/>
      <c r="V59" s="16144"/>
      <c r="W59" s="16144"/>
      <c r="X59" s="16144"/>
      <c r="Y59" s="16144"/>
      <c r="Z59" s="16144"/>
      <c r="AA59" s="16144"/>
      <c r="AB59" s="16144"/>
      <c r="AC59" s="16144"/>
      <c r="AD59" s="16144"/>
      <c r="AE59" s="16144"/>
      <c r="AF59" s="16144"/>
      <c r="AG59" s="16144"/>
      <c r="AH59" s="16144"/>
      <c r="AI59" s="16144"/>
      <c r="AJ59" s="16144"/>
      <c r="AK59" s="16144"/>
      <c r="AL59" s="16144"/>
      <c r="AM59" s="16144"/>
    </row>
    <row r="60" spans="1:44" ht="64.5" customHeight="1">
      <c r="O60" s="443"/>
      <c r="P60" s="1183"/>
      <c r="T60" s="16144"/>
      <c r="U60" s="16144"/>
      <c r="V60" s="16144"/>
      <c r="W60" s="16144"/>
      <c r="X60" s="16144"/>
      <c r="Y60" s="16144"/>
      <c r="Z60" s="16144"/>
      <c r="AA60" s="16144"/>
      <c r="AB60" s="16144"/>
      <c r="AC60" s="16144"/>
      <c r="AD60" s="16144"/>
      <c r="AE60" s="16144"/>
      <c r="AF60" s="16144"/>
      <c r="AG60" s="16144"/>
      <c r="AH60" s="16144"/>
      <c r="AI60" s="16144"/>
      <c r="AJ60" s="16144"/>
      <c r="AK60" s="16144"/>
      <c r="AL60" s="16144"/>
      <c r="AM60" s="16144"/>
    </row>
    <row r="61" spans="1:44" ht="14.25" customHeight="1">
      <c r="O61" s="443"/>
    </row>
    <row r="62" spans="1:44" ht="18" customHeight="1">
      <c r="O62" s="443"/>
      <c r="P62" s="1206"/>
      <c r="S62" s="1135"/>
      <c r="T62" s="16144"/>
      <c r="U62" s="16144"/>
      <c r="V62" s="16144"/>
      <c r="W62" s="16144"/>
      <c r="X62" s="16144"/>
      <c r="Y62" s="16144"/>
      <c r="Z62" s="16144"/>
      <c r="AA62" s="16144"/>
      <c r="AB62" s="16144"/>
      <c r="AC62" s="16144"/>
      <c r="AD62" s="16144"/>
      <c r="AE62" s="16144"/>
      <c r="AF62" s="16144"/>
      <c r="AG62" s="16144"/>
      <c r="AH62" s="16144"/>
      <c r="AI62" s="16144"/>
      <c r="AJ62" s="16144"/>
      <c r="AK62" s="16144"/>
      <c r="AL62" s="16144"/>
      <c r="AM62" s="16144"/>
    </row>
    <row r="63" spans="1:44" ht="18" customHeight="1">
      <c r="O63" s="443"/>
      <c r="P63" s="1206"/>
      <c r="T63" s="16144"/>
      <c r="U63" s="16144"/>
      <c r="V63" s="16144"/>
      <c r="W63" s="16144"/>
      <c r="X63" s="16144"/>
      <c r="Y63" s="16144"/>
      <c r="Z63" s="16144"/>
      <c r="AA63" s="16144"/>
      <c r="AB63" s="16144"/>
      <c r="AC63" s="16144"/>
      <c r="AD63" s="16144"/>
      <c r="AE63" s="16144"/>
      <c r="AF63" s="16144"/>
      <c r="AG63" s="16144"/>
      <c r="AH63" s="16144"/>
      <c r="AI63" s="16144"/>
      <c r="AJ63" s="16144"/>
      <c r="AK63" s="16144"/>
      <c r="AL63" s="16144"/>
      <c r="AM63" s="16144"/>
    </row>
    <row r="64" spans="1:44" ht="27.75" customHeight="1">
      <c r="O64" s="443"/>
      <c r="P64" s="1206"/>
      <c r="S64" s="1135"/>
      <c r="T64" s="16144"/>
      <c r="U64" s="16144"/>
      <c r="V64" s="16144"/>
      <c r="W64" s="16144"/>
      <c r="X64" s="16144"/>
      <c r="Y64" s="16144"/>
      <c r="Z64" s="16144"/>
      <c r="AA64" s="16144"/>
      <c r="AB64" s="16144"/>
      <c r="AC64" s="16144"/>
      <c r="AD64" s="16144"/>
      <c r="AE64" s="16144"/>
      <c r="AF64" s="16144"/>
      <c r="AG64" s="16144"/>
      <c r="AH64" s="16144"/>
      <c r="AI64" s="16144"/>
      <c r="AJ64" s="16144"/>
      <c r="AK64" s="16144"/>
      <c r="AL64" s="16144"/>
      <c r="AM64" s="1614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2" style="14419" hidden="1" customWidth="1"/>
    <col min="10" max="10" width="9.85546875" style="14419" hidden="1" customWidth="1"/>
    <col min="11" max="11" width="11.42578125" style="14419" hidden="1" customWidth="1"/>
    <col min="12" max="12" width="19.140625" style="14422" hidden="1" customWidth="1"/>
    <col min="13" max="14" width="12.28515625" style="14423" hidden="1" customWidth="1"/>
    <col min="15" max="15" width="23.42578125" style="14423" hidden="1" customWidth="1"/>
    <col min="16" max="16" width="3.7109375" style="14428" customWidth="1"/>
    <col min="17" max="18" width="3.7109375" style="14425" customWidth="1"/>
    <col min="19" max="19" width="12.7109375" style="14426" customWidth="1"/>
    <col min="20" max="20" width="32" style="14427" customWidth="1"/>
    <col min="21" max="21" width="0.140625" style="14427" customWidth="1"/>
    <col min="22" max="22" width="24.7109375" style="14427" hidden="1" customWidth="1"/>
    <col min="23" max="23" width="0.140625" style="14427" hidden="1" customWidth="1"/>
    <col min="24" max="25" width="24.7109375" style="14427" hidden="1" customWidth="1"/>
    <col min="26" max="26" width="11.7109375" style="14427" hidden="1" customWidth="1"/>
    <col min="27" max="27" width="3.7109375" style="14427" hidden="1" customWidth="1"/>
    <col min="28" max="28" width="11.7109375" style="14427" hidden="1" customWidth="1"/>
    <col min="29" max="29" width="8.5703125" style="14427" hidden="1" customWidth="1"/>
    <col min="30" max="30" width="24.7109375" style="14427" customWidth="1"/>
    <col min="31" max="31" width="0.140625" style="14427" customWidth="1"/>
    <col min="32" max="33" width="24.7109375" style="14427" customWidth="1"/>
    <col min="34" max="34" width="11.7109375" style="14427" customWidth="1"/>
    <col min="35" max="35" width="3.7109375" style="14427" customWidth="1"/>
    <col min="36" max="36" width="11.7109375" style="14427" customWidth="1"/>
    <col min="37" max="37" width="8.5703125" style="14427" hidden="1" customWidth="1"/>
    <col min="38" max="38" width="4.7109375" style="14427" customWidth="1"/>
    <col min="39" max="39" width="115.7109375" style="14427" customWidth="1"/>
    <col min="40" max="41" width="10.5703125" style="14421"/>
    <col min="42" max="42" width="11.140625" style="14421" customWidth="1"/>
    <col min="43" max="44" width="10.5703125" style="14421"/>
  </cols>
  <sheetData>
    <row r="1" spans="1:44" ht="14.25" hidden="1" customHeight="1">
      <c r="Y1" s="244"/>
      <c r="Z1" s="244"/>
      <c r="AG1" s="244"/>
      <c r="AH1" s="244"/>
    </row>
    <row r="2" spans="1:44" ht="21" hidden="1" customHeight="1">
      <c r="A2" s="1240"/>
      <c r="B2" s="1240"/>
      <c r="C2" s="1240"/>
      <c r="D2" s="1240"/>
      <c r="E2" s="16124">
        <v>1</v>
      </c>
      <c r="F2" s="1240"/>
      <c r="G2" s="1240"/>
      <c r="H2" s="1240"/>
      <c r="I2" s="1240"/>
      <c r="J2" s="1240"/>
      <c r="K2" s="1240"/>
      <c r="L2" s="1241"/>
      <c r="M2" s="1242"/>
      <c r="N2" s="1242"/>
      <c r="O2" s="1242"/>
      <c r="P2" s="277"/>
      <c r="Q2" s="276"/>
      <c r="R2" s="271"/>
      <c r="S2" s="1214" t="e">
        <f>INDEX(PT_DIFFERENTIATION_NUM_NTAR,MATCH(A2,PT_DIFFERENTIATION_NTAR_ID,0))</f>
        <v>#N/A</v>
      </c>
      <c r="T2" s="215" t="s">
        <v>158</v>
      </c>
      <c r="U2" s="217"/>
      <c r="V2" s="16110"/>
      <c r="W2" s="16111"/>
      <c r="X2" s="16111"/>
      <c r="Y2" s="16111"/>
      <c r="Z2" s="16111"/>
      <c r="AA2" s="16111"/>
      <c r="AB2" s="16111"/>
      <c r="AC2" s="16112"/>
      <c r="AD2" s="16110" t="e">
        <f>INDEX(PT_DIFFERENTIATION_NTAR,MATCH(A2,PT_DIFFERENTIATION_NTAR_ID,0))</f>
        <v>#N/A</v>
      </c>
      <c r="AE2" s="16111"/>
      <c r="AF2" s="16111"/>
      <c r="AG2" s="16111"/>
      <c r="AH2" s="16111"/>
      <c r="AI2" s="16111"/>
      <c r="AJ2" s="16111"/>
      <c r="AK2" s="16111"/>
      <c r="AL2" s="16112"/>
      <c r="AM2" s="1140" t="s">
        <v>533</v>
      </c>
      <c r="AO2" s="407"/>
      <c r="AP2" s="407" t="str">
        <f t="shared" ref="AP2:AP15" si="0">IF(T2="","",T2)</f>
        <v>Наименование тарифа</v>
      </c>
      <c r="AQ2" s="407"/>
      <c r="AR2" s="407"/>
    </row>
    <row r="3" spans="1:44" ht="21" hidden="1" customHeight="1">
      <c r="A3" s="1240"/>
      <c r="B3" s="1240"/>
      <c r="C3" s="1240"/>
      <c r="D3" s="1240"/>
      <c r="E3" s="16125"/>
      <c r="F3" s="16124">
        <v>1</v>
      </c>
      <c r="G3" s="1240"/>
      <c r="H3" s="1240"/>
      <c r="I3" s="1240"/>
      <c r="J3" s="1240"/>
      <c r="K3" s="1240"/>
      <c r="L3" s="1241"/>
      <c r="M3" s="1242"/>
      <c r="N3" s="1242"/>
      <c r="O3" s="1242"/>
      <c r="P3" s="1210"/>
      <c r="Q3" s="268"/>
      <c r="R3" s="269"/>
      <c r="S3" s="1214" t="e">
        <f>INDEX(PT_DIFFERENTIATION_NUM_TER,MATCH(B3,PT_DIFFERENTIATION_TER_ID,0))</f>
        <v>#N/A</v>
      </c>
      <c r="T3" s="225" t="s">
        <v>534</v>
      </c>
      <c r="U3" s="217"/>
      <c r="V3" s="16110"/>
      <c r="W3" s="16111"/>
      <c r="X3" s="16111"/>
      <c r="Y3" s="16111"/>
      <c r="Z3" s="16111"/>
      <c r="AA3" s="16111"/>
      <c r="AB3" s="16111"/>
      <c r="AC3" s="16112"/>
      <c r="AD3" s="16110" t="e">
        <f>INDEX(PT_DIFFERENTIATION_TER,MATCH(B3,PT_DIFFERENTIATION_TER_ID,0))</f>
        <v>#N/A</v>
      </c>
      <c r="AE3" s="16111"/>
      <c r="AF3" s="16111"/>
      <c r="AG3" s="16111"/>
      <c r="AH3" s="16111"/>
      <c r="AI3" s="16111"/>
      <c r="AJ3" s="16111"/>
      <c r="AK3" s="16111"/>
      <c r="AL3" s="16112"/>
      <c r="AM3" s="1140" t="s">
        <v>535</v>
      </c>
      <c r="AO3" s="407"/>
      <c r="AP3" s="407" t="str">
        <f t="shared" si="0"/>
        <v>Территория действия тарифа</v>
      </c>
      <c r="AQ3" s="407"/>
      <c r="AR3" s="407"/>
    </row>
    <row r="4" spans="1:44" ht="23.25" hidden="1" customHeight="1">
      <c r="A4" s="1240"/>
      <c r="B4" s="1240"/>
      <c r="C4" s="1240"/>
      <c r="D4" s="1240"/>
      <c r="E4" s="16125"/>
      <c r="F4" s="16125"/>
      <c r="G4" s="16124">
        <v>1</v>
      </c>
      <c r="H4" s="1240"/>
      <c r="I4" s="1240"/>
      <c r="J4" s="1240"/>
      <c r="K4" s="1240"/>
      <c r="L4" s="1241"/>
      <c r="M4" s="1242"/>
      <c r="N4" s="1242"/>
      <c r="O4" s="1242"/>
      <c r="P4" s="270"/>
      <c r="Q4" s="268"/>
      <c r="R4" s="269"/>
      <c r="S4" s="1214" t="e">
        <f>INDEX(PT_DIFFERENTIATION_NUM_CS,MATCH(C4,PT_DIFFERENTIATION_CS_ID,0))</f>
        <v>#N/A</v>
      </c>
      <c r="T4" s="226" t="s">
        <v>536</v>
      </c>
      <c r="U4" s="217"/>
      <c r="V4" s="16110"/>
      <c r="W4" s="16111"/>
      <c r="X4" s="16111"/>
      <c r="Y4" s="16111"/>
      <c r="Z4" s="16111"/>
      <c r="AA4" s="16111"/>
      <c r="AB4" s="16111"/>
      <c r="AC4" s="16112"/>
      <c r="AD4" s="16110" t="e">
        <f>INDEX(PT_DIFFERENTIATION_CS,MATCH(C4,PT_DIFFERENTIATION_CS_ID,0))</f>
        <v>#N/A</v>
      </c>
      <c r="AE4" s="16111"/>
      <c r="AF4" s="16111"/>
      <c r="AG4" s="16111"/>
      <c r="AH4" s="16111"/>
      <c r="AI4" s="16111"/>
      <c r="AJ4" s="16111"/>
      <c r="AK4" s="16111"/>
      <c r="AL4" s="16112"/>
      <c r="AM4" s="1140" t="s">
        <v>537</v>
      </c>
      <c r="AO4" s="407"/>
      <c r="AP4" s="407" t="str">
        <f t="shared" si="0"/>
        <v xml:space="preserve">Наименование системы теплоснабжения </v>
      </c>
      <c r="AQ4" s="407"/>
      <c r="AR4" s="407"/>
    </row>
    <row r="5" spans="1:44" ht="21" hidden="1" customHeight="1">
      <c r="A5" s="1240"/>
      <c r="B5" s="1240"/>
      <c r="C5" s="1240"/>
      <c r="D5" s="1240"/>
      <c r="E5" s="16125"/>
      <c r="F5" s="16125"/>
      <c r="G5" s="16125"/>
      <c r="H5" s="16124">
        <v>1</v>
      </c>
      <c r="I5" s="1240"/>
      <c r="J5" s="1240"/>
      <c r="K5" s="1240"/>
      <c r="L5" s="1241"/>
      <c r="M5" s="1242"/>
      <c r="N5" s="1242"/>
      <c r="O5" s="1242"/>
      <c r="P5" s="270"/>
      <c r="Q5" s="268"/>
      <c r="R5" s="269"/>
      <c r="S5" s="1214" t="e">
        <f>INDEX(PT_DIFFERENTIATION_NUM_IST_TE,MATCH(D5,PT_DIFFERENTIATION_IST_TE_ID,0))</f>
        <v>#N/A</v>
      </c>
      <c r="T5" s="227" t="s">
        <v>538</v>
      </c>
      <c r="U5" s="217"/>
      <c r="V5" s="16110"/>
      <c r="W5" s="16111"/>
      <c r="X5" s="16111"/>
      <c r="Y5" s="16111"/>
      <c r="Z5" s="16111"/>
      <c r="AA5" s="16111"/>
      <c r="AB5" s="16111"/>
      <c r="AC5" s="16112"/>
      <c r="AD5" s="16110" t="e">
        <f>INDEX(PT_DIFFERENTIATION_IST_TE,MATCH(D5,PT_DIFFERENTIATION_IST_TE_ID,0))</f>
        <v>#N/A</v>
      </c>
      <c r="AE5" s="16111"/>
      <c r="AF5" s="16111"/>
      <c r="AG5" s="16111"/>
      <c r="AH5" s="16111"/>
      <c r="AI5" s="16111"/>
      <c r="AJ5" s="16111"/>
      <c r="AK5" s="16111"/>
      <c r="AL5" s="16112"/>
      <c r="AM5" s="1140" t="s">
        <v>539</v>
      </c>
      <c r="AO5" s="407"/>
      <c r="AP5" s="407" t="str">
        <f t="shared" si="0"/>
        <v xml:space="preserve">Источник тепловой энергии  </v>
      </c>
      <c r="AQ5" s="407"/>
      <c r="AR5" s="407"/>
    </row>
    <row r="6" spans="1:44" ht="47.25" hidden="1" customHeight="1">
      <c r="A6" s="1240"/>
      <c r="B6" s="1240"/>
      <c r="C6" s="1240"/>
      <c r="D6" s="1240"/>
      <c r="E6" s="16125"/>
      <c r="F6" s="16125"/>
      <c r="G6" s="16125"/>
      <c r="H6" s="16125"/>
      <c r="I6" s="16122" t="e">
        <f>S5&amp;".1"</f>
        <v>#N/A</v>
      </c>
      <c r="J6" s="1240"/>
      <c r="K6" s="1240"/>
      <c r="L6" s="1241" t="s">
        <v>540</v>
      </c>
      <c r="M6" s="443"/>
      <c r="P6" s="16123">
        <v>1</v>
      </c>
      <c r="Q6" s="1209"/>
      <c r="R6" s="272"/>
      <c r="S6" s="1214" t="e">
        <f>$I6</f>
        <v>#N/A</v>
      </c>
      <c r="T6" s="202" t="s">
        <v>541</v>
      </c>
      <c r="U6" s="217"/>
      <c r="V6" s="16113"/>
      <c r="W6" s="16114"/>
      <c r="X6" s="16114"/>
      <c r="Y6" s="16114"/>
      <c r="Z6" s="16114"/>
      <c r="AA6" s="16114"/>
      <c r="AB6" s="16114"/>
      <c r="AC6" s="16115"/>
      <c r="AD6" s="16113"/>
      <c r="AE6" s="16114"/>
      <c r="AF6" s="16114"/>
      <c r="AG6" s="16114"/>
      <c r="AH6" s="16114"/>
      <c r="AI6" s="16114"/>
      <c r="AJ6" s="16114"/>
      <c r="AK6" s="16114"/>
      <c r="AL6" s="16115"/>
      <c r="AM6" s="1140" t="s">
        <v>542</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0"/>
      <c r="B7" s="1240"/>
      <c r="C7" s="1240"/>
      <c r="D7" s="1240"/>
      <c r="E7" s="16125"/>
      <c r="F7" s="16125"/>
      <c r="G7" s="16125"/>
      <c r="H7" s="16125"/>
      <c r="I7" s="16145"/>
      <c r="J7" s="16122" t="e">
        <f>I6&amp;".1"</f>
        <v>#N/A</v>
      </c>
      <c r="K7" s="1240"/>
      <c r="L7" s="1241" t="s">
        <v>543</v>
      </c>
      <c r="M7" s="443"/>
      <c r="N7" s="1243"/>
      <c r="P7" s="16123"/>
      <c r="Q7" s="16123">
        <v>1</v>
      </c>
      <c r="R7" s="273"/>
      <c r="S7" s="1214" t="e">
        <f>$J7</f>
        <v>#N/A</v>
      </c>
      <c r="T7" s="203" t="s">
        <v>544</v>
      </c>
      <c r="U7" s="217"/>
      <c r="V7" s="16113"/>
      <c r="W7" s="16114"/>
      <c r="X7" s="16114"/>
      <c r="Y7" s="16114"/>
      <c r="Z7" s="16114"/>
      <c r="AA7" s="16114"/>
      <c r="AB7" s="16114"/>
      <c r="AC7" s="16115"/>
      <c r="AD7" s="16113"/>
      <c r="AE7" s="16114"/>
      <c r="AF7" s="16114"/>
      <c r="AG7" s="16114"/>
      <c r="AH7" s="16114"/>
      <c r="AI7" s="16114"/>
      <c r="AJ7" s="16114"/>
      <c r="AK7" s="16114"/>
      <c r="AL7" s="16115"/>
      <c r="AM7" s="1140" t="s">
        <v>545</v>
      </c>
      <c r="AO7" s="407"/>
      <c r="AP7" s="407" t="str">
        <f t="shared" si="0"/>
        <v>Группа потребителей</v>
      </c>
      <c r="AQ7" s="407"/>
      <c r="AR7" s="407"/>
    </row>
    <row r="8" spans="1:44" ht="21" hidden="1" customHeight="1">
      <c r="A8" s="1240"/>
      <c r="B8" s="1240"/>
      <c r="C8" s="1240"/>
      <c r="D8" s="1240"/>
      <c r="E8" s="16125"/>
      <c r="F8" s="16125"/>
      <c r="G8" s="16125"/>
      <c r="H8" s="16125"/>
      <c r="I8" s="16145"/>
      <c r="J8" s="16145"/>
      <c r="K8" s="16122" t="e">
        <f>J7&amp;".1"</f>
        <v>#N/A</v>
      </c>
      <c r="L8" s="1241" t="s">
        <v>546</v>
      </c>
      <c r="M8" s="443"/>
      <c r="N8" s="1243"/>
      <c r="O8" s="1243"/>
      <c r="P8" s="16123"/>
      <c r="Q8" s="16123"/>
      <c r="R8" s="273">
        <v>1</v>
      </c>
      <c r="S8" s="1214" t="e">
        <f>$K8</f>
        <v>#N/A</v>
      </c>
      <c r="T8" s="1225"/>
      <c r="U8" s="217"/>
      <c r="V8" s="649"/>
      <c r="W8" s="242"/>
      <c r="X8" s="649"/>
      <c r="Y8" s="1139"/>
      <c r="Z8" s="16127"/>
      <c r="AA8" s="15973" t="s">
        <v>66</v>
      </c>
      <c r="AB8" s="16127"/>
      <c r="AC8" s="15973" t="s">
        <v>66</v>
      </c>
      <c r="AD8" s="649"/>
      <c r="AE8" s="242"/>
      <c r="AF8" s="649"/>
      <c r="AG8" s="1139"/>
      <c r="AH8" s="16127"/>
      <c r="AI8" s="15973" t="s">
        <v>66</v>
      </c>
      <c r="AJ8" s="16127"/>
      <c r="AK8" s="15973" t="s">
        <v>66</v>
      </c>
      <c r="AL8" s="242"/>
      <c r="AM8" s="16119" t="s">
        <v>547</v>
      </c>
      <c r="AN8" s="418" t="e">
        <f ca="1">STRCHECKDATE(V9:AL9)</f>
        <v>#NAME?</v>
      </c>
      <c r="AO8" s="407"/>
      <c r="AP8" s="407" t="str">
        <f t="shared" si="0"/>
        <v/>
      </c>
      <c r="AQ8" s="407"/>
      <c r="AR8" s="407"/>
    </row>
    <row r="9" spans="1:44" ht="0.75" hidden="1" customHeight="1">
      <c r="A9" s="1240"/>
      <c r="B9" s="1240"/>
      <c r="C9" s="1240"/>
      <c r="D9" s="1240"/>
      <c r="E9" s="16125"/>
      <c r="F9" s="16125"/>
      <c r="G9" s="16125"/>
      <c r="H9" s="16125"/>
      <c r="I9" s="16145"/>
      <c r="J9" s="16145"/>
      <c r="K9" s="16122"/>
      <c r="L9" s="1241"/>
      <c r="M9" s="443"/>
      <c r="N9" s="1243"/>
      <c r="O9" s="1243"/>
      <c r="P9" s="16123"/>
      <c r="Q9" s="16123"/>
      <c r="R9" s="273"/>
      <c r="S9" s="1220"/>
      <c r="T9" s="217"/>
      <c r="U9" s="217"/>
      <c r="V9" s="242"/>
      <c r="W9" s="242"/>
      <c r="X9" s="242"/>
      <c r="Y9" s="245" t="str">
        <f>Z8&amp;"-"&amp;AB8</f>
        <v>-</v>
      </c>
      <c r="Z9" s="16128"/>
      <c r="AA9" s="15973"/>
      <c r="AB9" s="16128"/>
      <c r="AC9" s="15973"/>
      <c r="AD9" s="242"/>
      <c r="AE9" s="242"/>
      <c r="AF9" s="242"/>
      <c r="AG9" s="245" t="str">
        <f>AH8&amp;"-"&amp;AJ8</f>
        <v>-</v>
      </c>
      <c r="AH9" s="16128"/>
      <c r="AI9" s="15973"/>
      <c r="AJ9" s="16128"/>
      <c r="AK9" s="15973"/>
      <c r="AL9" s="242"/>
      <c r="AM9" s="16120"/>
      <c r="AO9" s="407"/>
      <c r="AP9" s="407" t="str">
        <f t="shared" si="0"/>
        <v/>
      </c>
      <c r="AQ9" s="407"/>
      <c r="AR9" s="407"/>
    </row>
    <row r="10" spans="1:44" ht="15" hidden="1" customHeight="1">
      <c r="A10" s="1240"/>
      <c r="B10" s="1240"/>
      <c r="C10" s="1240"/>
      <c r="D10" s="1240"/>
      <c r="E10" s="16125"/>
      <c r="F10" s="16125"/>
      <c r="G10" s="16125"/>
      <c r="H10" s="16125"/>
      <c r="I10" s="16145"/>
      <c r="J10" s="16122"/>
      <c r="K10" s="1240"/>
      <c r="L10" s="1241"/>
      <c r="M10" s="443"/>
      <c r="N10" s="1243"/>
      <c r="P10" s="16123"/>
      <c r="Q10" s="16123"/>
      <c r="R10" s="272"/>
      <c r="S10" s="1160"/>
      <c r="T10" s="205" t="s">
        <v>548</v>
      </c>
      <c r="U10" s="282"/>
      <c r="V10" s="282"/>
      <c r="W10" s="282"/>
      <c r="X10" s="282"/>
      <c r="Y10" s="282"/>
      <c r="Z10" s="282"/>
      <c r="AA10" s="282"/>
      <c r="AB10" s="282"/>
      <c r="AC10" s="282"/>
      <c r="AD10" s="282"/>
      <c r="AE10" s="282"/>
      <c r="AF10" s="282"/>
      <c r="AG10" s="282"/>
      <c r="AH10" s="282"/>
      <c r="AI10" s="282"/>
      <c r="AJ10" s="282"/>
      <c r="AK10" s="282"/>
      <c r="AL10" s="241"/>
      <c r="AM10" s="16121"/>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16125"/>
      <c r="F11" s="16125"/>
      <c r="G11" s="16125"/>
      <c r="H11" s="16125"/>
      <c r="I11" s="16122"/>
      <c r="J11" s="1240"/>
      <c r="K11" s="1240"/>
      <c r="L11" s="1241"/>
      <c r="M11" s="443"/>
      <c r="P11" s="16123"/>
      <c r="Q11" s="1209"/>
      <c r="R11" s="272"/>
      <c r="S11" s="1160"/>
      <c r="T11" s="204" t="s">
        <v>549</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16125"/>
      <c r="F12" s="16125"/>
      <c r="G12" s="16125"/>
      <c r="H12" s="16124"/>
      <c r="I12" s="1240"/>
      <c r="J12" s="1240"/>
      <c r="K12" s="1240"/>
      <c r="L12" s="1241"/>
      <c r="M12" s="1242"/>
      <c r="N12" s="1242"/>
      <c r="O12" s="443"/>
      <c r="P12" s="276"/>
      <c r="Q12" s="290"/>
      <c r="R12" s="271"/>
      <c r="S12" s="1160"/>
      <c r="T12" s="280" t="s">
        <v>550</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4418" customFormat="1" ht="0.75" hidden="1" customHeight="1">
      <c r="A13" s="1193"/>
      <c r="B13" s="1193"/>
      <c r="C13" s="1193"/>
      <c r="D13" s="1193"/>
      <c r="E13" s="16125"/>
      <c r="F13" s="16125"/>
      <c r="G13" s="16124"/>
      <c r="H13" s="1193"/>
      <c r="I13" s="1193"/>
      <c r="J13" s="1193"/>
      <c r="K13" s="1193"/>
      <c r="L13" s="1217"/>
      <c r="M13" s="1194"/>
      <c r="N13" s="1194"/>
      <c r="P13" s="1195"/>
      <c r="Q13" s="1196"/>
      <c r="R13" s="1195"/>
      <c r="S13" s="1197"/>
      <c r="T13" s="1198" t="s">
        <v>551</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4418" customFormat="1" ht="0.75" hidden="1" customHeight="1">
      <c r="A14" s="1193"/>
      <c r="B14" s="1193"/>
      <c r="C14" s="1193"/>
      <c r="D14" s="1193"/>
      <c r="E14" s="16125"/>
      <c r="F14" s="16124"/>
      <c r="G14" s="1193"/>
      <c r="H14" s="1193"/>
      <c r="I14" s="1193"/>
      <c r="J14" s="1193"/>
      <c r="K14" s="1193"/>
      <c r="L14" s="1217"/>
      <c r="M14" s="1200"/>
      <c r="N14" s="1200"/>
      <c r="P14" s="1195"/>
      <c r="Q14" s="1196"/>
      <c r="R14" s="1195"/>
      <c r="S14" s="1201"/>
      <c r="T14" s="1202" t="s">
        <v>290</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4418" customFormat="1" ht="0.75" hidden="1" customHeight="1">
      <c r="A15" s="1193"/>
      <c r="B15" s="1193"/>
      <c r="C15" s="1193"/>
      <c r="D15" s="1193"/>
      <c r="E15" s="16124"/>
      <c r="F15" s="1193"/>
      <c r="G15" s="1193"/>
      <c r="H15" s="1193"/>
      <c r="I15" s="1193"/>
      <c r="J15" s="1193"/>
      <c r="K15" s="1193"/>
      <c r="L15" s="1217"/>
      <c r="M15" s="1200"/>
      <c r="N15" s="1200"/>
      <c r="P15" s="1195"/>
      <c r="Q15" s="1196"/>
      <c r="R15" s="1195"/>
      <c r="S15" s="1201"/>
      <c r="T15" s="1204" t="s">
        <v>326</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16129"/>
      <c r="AI17" s="16130" t="s">
        <v>66</v>
      </c>
      <c r="AJ17" s="16129"/>
      <c r="AK17" s="16130" t="s">
        <v>66</v>
      </c>
    </row>
    <row r="18" spans="1:44" ht="14.25" hidden="1" customHeight="1">
      <c r="AD18" s="1237"/>
      <c r="AE18" s="1237"/>
      <c r="AF18" s="1237"/>
      <c r="AG18" s="245" t="str">
        <f>AH17&amp;"-"&amp;AJ17</f>
        <v>-</v>
      </c>
      <c r="AH18" s="16130"/>
      <c r="AI18" s="16130"/>
      <c r="AJ18" s="16130"/>
      <c r="AK18" s="16130"/>
    </row>
    <row r="19" spans="1:44" ht="14.25" hidden="1" customHeight="1">
      <c r="AK19" s="244"/>
    </row>
    <row r="20" spans="1:44" s="14419" customFormat="1" ht="22.5" hidden="1" customHeight="1">
      <c r="L20" s="1207"/>
      <c r="M20" s="1239"/>
      <c r="N20" s="1239"/>
      <c r="O20" s="1244" t="s">
        <v>552</v>
      </c>
      <c r="P20" s="1239"/>
      <c r="Q20" s="1248"/>
      <c r="R20" s="1248"/>
      <c r="S20" s="629"/>
      <c r="Z20" s="1244"/>
      <c r="AB20" s="1244"/>
      <c r="AC20" s="1243"/>
      <c r="AH20" s="1244"/>
      <c r="AJ20" s="1244"/>
      <c r="AK20" s="1243"/>
      <c r="AN20" s="418"/>
      <c r="AO20" s="418"/>
      <c r="AP20" s="418"/>
      <c r="AQ20" s="418"/>
      <c r="AR20" s="418"/>
    </row>
    <row r="21" spans="1:44" s="14419" customFormat="1" ht="14.25" hidden="1" customHeight="1">
      <c r="L21" s="1207"/>
      <c r="M21" s="1239"/>
      <c r="N21" s="1239"/>
      <c r="O21" s="1239"/>
      <c r="P21" s="1239"/>
      <c r="Q21" s="1248"/>
      <c r="R21" s="1248"/>
      <c r="S21" s="629"/>
      <c r="AC21" s="1243"/>
      <c r="AK21" s="1243"/>
      <c r="AN21" s="418"/>
      <c r="AO21" s="418"/>
      <c r="AP21" s="418"/>
      <c r="AQ21" s="418"/>
      <c r="AR21" s="418"/>
    </row>
    <row r="22" spans="1:44" s="14419" customFormat="1" ht="14.25" hidden="1" customHeight="1">
      <c r="L22" s="1207"/>
      <c r="M22" s="1239"/>
      <c r="N22" s="1239"/>
      <c r="O22" s="1241" t="s">
        <v>553</v>
      </c>
      <c r="P22" s="1239"/>
      <c r="Q22" s="1248"/>
      <c r="R22" s="1248"/>
      <c r="S22" s="629"/>
      <c r="T22" s="1041" t="s">
        <v>554</v>
      </c>
      <c r="AA22" s="108" t="s">
        <v>555</v>
      </c>
      <c r="AC22" s="108" t="s">
        <v>556</v>
      </c>
      <c r="AD22" s="1041" t="s">
        <v>554</v>
      </c>
      <c r="AI22" s="108" t="s">
        <v>557</v>
      </c>
      <c r="AK22" s="108" t="s">
        <v>556</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161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6108"/>
      <c r="U26" s="16108"/>
      <c r="V26" s="16108"/>
      <c r="W26" s="16108"/>
      <c r="X26" s="16108"/>
      <c r="Y26" s="16108"/>
      <c r="Z26" s="16108"/>
      <c r="AA26" s="16108"/>
      <c r="AB26" s="16108"/>
      <c r="AC26" s="16108"/>
      <c r="AD26" s="16108"/>
      <c r="AE26" s="16108"/>
      <c r="AF26" s="16108"/>
      <c r="AG26" s="16108"/>
      <c r="AH26" s="16108"/>
      <c r="AI26" s="16108"/>
      <c r="AJ26" s="16108"/>
      <c r="AK26" s="1125"/>
    </row>
    <row r="27" spans="1:44" ht="14.25" customHeight="1">
      <c r="Q27" s="291"/>
      <c r="R27" s="291"/>
      <c r="S27" s="16056" t="str">
        <f>IF(org=0,"Не определено",org)</f>
        <v>АО "Мурманэнергосбыт"</v>
      </c>
      <c r="T27" s="16056"/>
      <c r="U27" s="16056"/>
      <c r="V27" s="16056"/>
      <c r="W27" s="16056"/>
      <c r="X27" s="16056"/>
      <c r="Y27" s="16056"/>
      <c r="Z27" s="16056"/>
      <c r="AA27" s="16056"/>
      <c r="AB27" s="16056"/>
      <c r="AC27" s="16056"/>
      <c r="AD27" s="16056"/>
      <c r="AE27" s="16056"/>
      <c r="AF27" s="16056"/>
      <c r="AG27" s="16056"/>
      <c r="AH27" s="16056"/>
      <c r="AI27" s="16056"/>
      <c r="AJ27" s="16056"/>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4420" customFormat="1" ht="25.5" customHeight="1">
      <c r="A29" s="1245"/>
      <c r="B29" s="1245"/>
      <c r="C29" s="1245"/>
      <c r="D29" s="1245"/>
      <c r="E29" s="1245"/>
      <c r="F29" s="1245"/>
      <c r="G29" s="1245"/>
      <c r="H29" s="1245"/>
      <c r="I29" s="1245"/>
      <c r="J29" s="1245"/>
      <c r="K29" s="1245"/>
      <c r="L29" s="1246"/>
      <c r="M29" s="1245"/>
      <c r="N29" s="1245"/>
      <c r="O29" s="1245"/>
      <c r="S29" s="16116" t="s">
        <v>38</v>
      </c>
      <c r="T29" s="16116"/>
      <c r="U29" s="1249"/>
      <c r="V29" s="16117" t="str">
        <f>IF(TITLE_NAME_OR_PR_CHANGE="",IF(TITLE_NAME_OR_PR="","",TITLE_NAME_OR_PR),TITLE_NAME_OR_PR_CHANGE)</f>
        <v>Комитет по тарифному регулированию Мурманской области</v>
      </c>
      <c r="W29" s="16117"/>
      <c r="X29" s="16117"/>
      <c r="Y29" s="16117"/>
      <c r="Z29" s="16117"/>
      <c r="AA29" s="16117"/>
      <c r="AB29" s="16117"/>
      <c r="AC29" s="243"/>
      <c r="AD29" s="16117" t="str">
        <f>IF(TITLE_NAME_OR_PR_CHANGE="",IF(TITLE_NAME_OR_PR="","",TITLE_NAME_OR_PR),TITLE_NAME_OR_PR_CHANGE)</f>
        <v>Комитет по тарифному регулированию Мурманской области</v>
      </c>
      <c r="AE29" s="16117"/>
      <c r="AF29" s="16117"/>
      <c r="AG29" s="16117"/>
      <c r="AH29" s="16117"/>
      <c r="AI29" s="16117"/>
      <c r="AJ29" s="16117"/>
      <c r="AK29" s="243"/>
      <c r="AL29" s="243"/>
      <c r="AM29" s="198"/>
      <c r="AN29" s="283"/>
      <c r="AO29" s="283"/>
      <c r="AP29" s="283"/>
      <c r="AQ29" s="283"/>
      <c r="AR29" s="283"/>
    </row>
    <row r="30" spans="1:44" s="14420" customFormat="1" ht="18.75" customHeight="1">
      <c r="A30" s="1245"/>
      <c r="B30" s="1245"/>
      <c r="C30" s="1245"/>
      <c r="D30" s="1245"/>
      <c r="E30" s="1245"/>
      <c r="F30" s="1245"/>
      <c r="G30" s="1245"/>
      <c r="H30" s="1245"/>
      <c r="I30" s="1245"/>
      <c r="J30" s="1245"/>
      <c r="K30" s="1245"/>
      <c r="L30" s="1246"/>
      <c r="M30" s="1245"/>
      <c r="N30" s="1245"/>
      <c r="O30" s="1245"/>
      <c r="S30" s="16116" t="s">
        <v>558</v>
      </c>
      <c r="T30" s="16116"/>
      <c r="U30" s="1249"/>
      <c r="V30" s="16126">
        <f>IF(TITLE_DATE_PR_CHANGE="",IF(TITLE_DATE_PR="","",TITLE_DATE_PR),TITLE_DATE_PR_CHANGE)</f>
        <v>45379</v>
      </c>
      <c r="W30" s="16126"/>
      <c r="X30" s="16126"/>
      <c r="Y30" s="16126"/>
      <c r="Z30" s="16126"/>
      <c r="AA30" s="16126"/>
      <c r="AB30" s="16126"/>
      <c r="AC30" s="243"/>
      <c r="AD30" s="16126">
        <f>IF(TITLE_DATE_PR_CHANGE="",IF(TITLE_DATE_PR="","",TITLE_DATE_PR),TITLE_DATE_PR_CHANGE)</f>
        <v>45379</v>
      </c>
      <c r="AE30" s="16126"/>
      <c r="AF30" s="16126"/>
      <c r="AG30" s="16126"/>
      <c r="AH30" s="16126"/>
      <c r="AI30" s="16126"/>
      <c r="AJ30" s="16126"/>
      <c r="AK30" s="243"/>
      <c r="AL30" s="243"/>
      <c r="AM30" s="198"/>
      <c r="AN30" s="283"/>
      <c r="AO30" s="283"/>
      <c r="AP30" s="283"/>
      <c r="AQ30" s="283"/>
      <c r="AR30" s="283"/>
    </row>
    <row r="31" spans="1:44" s="14420" customFormat="1" ht="18.75" customHeight="1">
      <c r="A31" s="1245"/>
      <c r="B31" s="1245"/>
      <c r="C31" s="1245"/>
      <c r="D31" s="1245"/>
      <c r="E31" s="1245"/>
      <c r="F31" s="1245"/>
      <c r="G31" s="1245"/>
      <c r="H31" s="1245"/>
      <c r="I31" s="1245"/>
      <c r="J31" s="1245"/>
      <c r="K31" s="1245"/>
      <c r="L31" s="1246"/>
      <c r="M31" s="1245"/>
      <c r="N31" s="1245"/>
      <c r="O31" s="1245"/>
      <c r="S31" s="16116" t="s">
        <v>559</v>
      </c>
      <c r="T31" s="16116"/>
      <c r="U31" s="1249"/>
      <c r="V31" s="16117" t="str">
        <f>IF(TITLE_NUMBER_PR_CHANGE="",IF(TITLE_NUMBER_PR="","",TITLE_NUMBER_PR),TITLE_NUMBER_PR_CHANGE)</f>
        <v>8/6</v>
      </c>
      <c r="W31" s="16117"/>
      <c r="X31" s="16117"/>
      <c r="Y31" s="16117"/>
      <c r="Z31" s="16117"/>
      <c r="AA31" s="16117"/>
      <c r="AB31" s="16117"/>
      <c r="AC31" s="243"/>
      <c r="AD31" s="16117" t="str">
        <f>IF(TITLE_NUMBER_PR_CHANGE="",IF(TITLE_NUMBER_PR="","",TITLE_NUMBER_PR),TITLE_NUMBER_PR_CHANGE)</f>
        <v>8/6</v>
      </c>
      <c r="AE31" s="16117"/>
      <c r="AF31" s="16117"/>
      <c r="AG31" s="16117"/>
      <c r="AH31" s="16117"/>
      <c r="AI31" s="16117"/>
      <c r="AJ31" s="16117"/>
      <c r="AK31" s="243"/>
      <c r="AL31" s="243"/>
      <c r="AM31" s="198"/>
      <c r="AN31" s="283"/>
      <c r="AO31" s="283"/>
      <c r="AP31" s="283"/>
      <c r="AQ31" s="283"/>
      <c r="AR31" s="283"/>
    </row>
    <row r="32" spans="1:44" s="14420" customFormat="1" ht="18.75" customHeight="1">
      <c r="A32" s="1245"/>
      <c r="B32" s="1245"/>
      <c r="C32" s="1245"/>
      <c r="D32" s="1245"/>
      <c r="E32" s="1245"/>
      <c r="F32" s="1245"/>
      <c r="G32" s="1245"/>
      <c r="H32" s="1245"/>
      <c r="I32" s="1245"/>
      <c r="J32" s="1245"/>
      <c r="K32" s="1245"/>
      <c r="L32" s="1246"/>
      <c r="M32" s="1245"/>
      <c r="N32" s="1245"/>
      <c r="O32" s="1245"/>
      <c r="S32" s="16116" t="s">
        <v>40</v>
      </c>
      <c r="T32" s="16116"/>
      <c r="U32" s="1249"/>
      <c r="V32" s="16117" t="str">
        <f>IF(TITLE_IST_PUB_CHANGE="",IF(TITLE_IST_PUB="","",TITLE_IST_PUB),TITLE_IST_PUB_CHANGE)</f>
        <v>https://npa.gov-murman.ru/bitrix/components/b1team/govmurman.element.file/download.php?ID=518761&amp;FID=765125</v>
      </c>
      <c r="W32" s="16117"/>
      <c r="X32" s="16117"/>
      <c r="Y32" s="16117"/>
      <c r="Z32" s="16117"/>
      <c r="AA32" s="16117"/>
      <c r="AB32" s="16117"/>
      <c r="AC32" s="243"/>
      <c r="AD32" s="16117" t="str">
        <f>IF(TITLE_IST_PUB_CHANGE="",IF(TITLE_IST_PUB="","",TITLE_IST_PUB),TITLE_IST_PUB_CHANGE)</f>
        <v>https://npa.gov-murman.ru/bitrix/components/b1team/govmurman.element.file/download.php?ID=518761&amp;FID=765125</v>
      </c>
      <c r="AE32" s="16117"/>
      <c r="AF32" s="16117"/>
      <c r="AG32" s="16117"/>
      <c r="AH32" s="16117"/>
      <c r="AI32" s="16117"/>
      <c r="AJ32" s="16117"/>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4420" customFormat="1" ht="18.75" hidden="1" customHeight="1">
      <c r="A34" s="1245"/>
      <c r="B34" s="1245"/>
      <c r="C34" s="1245"/>
      <c r="D34" s="1245"/>
      <c r="E34" s="1245"/>
      <c r="F34" s="1245"/>
      <c r="G34" s="1245"/>
      <c r="H34" s="1245"/>
      <c r="I34" s="1245"/>
      <c r="J34" s="1245"/>
      <c r="K34" s="1245"/>
      <c r="L34" s="1246"/>
      <c r="M34" s="1245"/>
      <c r="N34" s="1245"/>
      <c r="O34" s="1245"/>
      <c r="S34" s="16116" t="s">
        <v>560</v>
      </c>
      <c r="T34" s="16116"/>
      <c r="U34" s="1249"/>
      <c r="V34" s="16126">
        <f>IF(TITLE_DATE_PR_CHANGE="",IF(TITLE_DATE_PR="","",TITLE_DATE_PR),TITLE_DATE_PR_CHANGE)</f>
        <v>45379</v>
      </c>
      <c r="W34" s="16126"/>
      <c r="X34" s="16126"/>
      <c r="Y34" s="16126"/>
      <c r="Z34" s="16126"/>
      <c r="AA34" s="16126"/>
      <c r="AB34" s="16126"/>
      <c r="AC34" s="243"/>
      <c r="AD34" s="16126">
        <f>IF(TITLE_DATE_PR_CHANGE="",IF(TITLE_DATE_PR="","",TITLE_DATE_PR),TITLE_DATE_PR_CHANGE)</f>
        <v>45379</v>
      </c>
      <c r="AE34" s="16126"/>
      <c r="AF34" s="16126"/>
      <c r="AG34" s="16126"/>
      <c r="AH34" s="16126"/>
      <c r="AI34" s="16126"/>
      <c r="AJ34" s="16126"/>
      <c r="AK34" s="243"/>
      <c r="AL34" s="243"/>
      <c r="AM34" s="198"/>
      <c r="AN34" s="283"/>
      <c r="AO34" s="283"/>
      <c r="AP34" s="283"/>
      <c r="AQ34" s="283"/>
      <c r="AR34" s="283"/>
    </row>
    <row r="35" spans="1:44" s="14420" customFormat="1" ht="18.75" hidden="1" customHeight="1">
      <c r="A35" s="1245"/>
      <c r="B35" s="1245"/>
      <c r="C35" s="1245"/>
      <c r="D35" s="1245"/>
      <c r="E35" s="1245"/>
      <c r="F35" s="1245"/>
      <c r="G35" s="1245"/>
      <c r="H35" s="1245"/>
      <c r="I35" s="1245"/>
      <c r="J35" s="1245"/>
      <c r="K35" s="1245"/>
      <c r="L35" s="1246"/>
      <c r="M35" s="1245"/>
      <c r="N35" s="1245"/>
      <c r="O35" s="1245"/>
      <c r="S35" s="16116" t="s">
        <v>561</v>
      </c>
      <c r="T35" s="16116"/>
      <c r="U35" s="1249"/>
      <c r="V35" s="16117" t="str">
        <f>IF(TITLE_NUMBER_PR_CHANGE="",IF(TITLE_NUMBER_PR="","",TITLE_NUMBER_PR),TITLE_NUMBER_PR_CHANGE)</f>
        <v>8/6</v>
      </c>
      <c r="W35" s="16117"/>
      <c r="X35" s="16117"/>
      <c r="Y35" s="16117"/>
      <c r="Z35" s="16117"/>
      <c r="AA35" s="16117"/>
      <c r="AB35" s="16117"/>
      <c r="AC35" s="243"/>
      <c r="AD35" s="16117" t="str">
        <f>IF(TITLE_NUMBER_PR_CHANGE="",IF(TITLE_NUMBER_PR="","",TITLE_NUMBER_PR),TITLE_NUMBER_PR_CHANGE)</f>
        <v>8/6</v>
      </c>
      <c r="AE35" s="16117"/>
      <c r="AF35" s="16117"/>
      <c r="AG35" s="16117"/>
      <c r="AH35" s="16117"/>
      <c r="AI35" s="16117"/>
      <c r="AJ35" s="16117"/>
      <c r="AK35" s="243"/>
      <c r="AL35" s="243"/>
      <c r="AM35" s="198"/>
      <c r="AN35" s="283"/>
      <c r="AO35" s="283"/>
      <c r="AP35" s="283"/>
      <c r="AQ35" s="283"/>
      <c r="AR35" s="283"/>
    </row>
    <row r="36" spans="1:44" s="14420"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562</v>
      </c>
      <c r="AD36" s="243"/>
      <c r="AE36" s="243"/>
      <c r="AF36" s="243"/>
      <c r="AG36" s="243"/>
      <c r="AH36" s="243"/>
      <c r="AI36" s="243"/>
      <c r="AJ36" s="243"/>
      <c r="AK36" s="196" t="s">
        <v>562</v>
      </c>
      <c r="AN36" s="283"/>
      <c r="AO36" s="283"/>
      <c r="AP36" s="283"/>
      <c r="AQ36" s="283"/>
      <c r="AR36" s="283"/>
    </row>
    <row r="37" spans="1:44" ht="14.25" customHeight="1">
      <c r="Q37" s="291"/>
      <c r="R37" s="291"/>
      <c r="S37" s="1157"/>
      <c r="T37" s="279"/>
      <c r="U37" s="1126"/>
      <c r="V37" s="16118"/>
      <c r="W37" s="16118"/>
      <c r="X37" s="16118"/>
      <c r="Y37" s="16118"/>
      <c r="Z37" s="16118"/>
      <c r="AA37" s="16118"/>
      <c r="AB37" s="16118"/>
      <c r="AC37" s="16118"/>
      <c r="AD37" s="16118"/>
      <c r="AE37" s="16118"/>
      <c r="AF37" s="16118"/>
      <c r="AG37" s="16118"/>
      <c r="AH37" s="16118"/>
      <c r="AI37" s="16118"/>
      <c r="AJ37" s="16118"/>
      <c r="AK37" s="16118"/>
    </row>
    <row r="38" spans="1:44" ht="14.25" customHeight="1">
      <c r="Q38" s="291"/>
      <c r="R38" s="291"/>
      <c r="S38" s="15992" t="s">
        <v>437</v>
      </c>
      <c r="T38" s="15992"/>
      <c r="U38" s="15992"/>
      <c r="V38" s="15992"/>
      <c r="W38" s="15992"/>
      <c r="X38" s="15992"/>
      <c r="Y38" s="15992"/>
      <c r="Z38" s="15992"/>
      <c r="AA38" s="15992"/>
      <c r="AB38" s="15992"/>
      <c r="AC38" s="15992"/>
      <c r="AD38" s="15992"/>
      <c r="AE38" s="15992"/>
      <c r="AF38" s="15992"/>
      <c r="AG38" s="15992"/>
      <c r="AH38" s="15992"/>
      <c r="AI38" s="15992"/>
      <c r="AJ38" s="15992"/>
      <c r="AK38" s="15992"/>
      <c r="AL38" s="15992"/>
      <c r="AM38" s="15992" t="s">
        <v>438</v>
      </c>
    </row>
    <row r="39" spans="1:44" ht="14.25" customHeight="1">
      <c r="Q39" s="291"/>
      <c r="R39" s="291"/>
      <c r="S39" s="16132" t="s">
        <v>87</v>
      </c>
      <c r="T39" s="16084" t="s">
        <v>563</v>
      </c>
      <c r="U39" s="218"/>
      <c r="V39" s="16133" t="s">
        <v>564</v>
      </c>
      <c r="W39" s="16134"/>
      <c r="X39" s="16134"/>
      <c r="Y39" s="16134"/>
      <c r="Z39" s="16134"/>
      <c r="AA39" s="16134"/>
      <c r="AB39" s="16135"/>
      <c r="AC39" s="16136" t="s">
        <v>565</v>
      </c>
      <c r="AD39" s="16133" t="s">
        <v>564</v>
      </c>
      <c r="AE39" s="16134"/>
      <c r="AF39" s="16134"/>
      <c r="AG39" s="16134"/>
      <c r="AH39" s="16134"/>
      <c r="AI39" s="16134"/>
      <c r="AJ39" s="16135"/>
      <c r="AK39" s="16136" t="s">
        <v>566</v>
      </c>
      <c r="AL39" s="16139" t="s">
        <v>567</v>
      </c>
      <c r="AM39" s="15992"/>
    </row>
    <row r="40" spans="1:44" ht="33.75" customHeight="1">
      <c r="Q40" s="291"/>
      <c r="R40" s="291"/>
      <c r="S40" s="16132"/>
      <c r="T40" s="16084"/>
      <c r="U40" s="919"/>
      <c r="V40" s="16055" t="s">
        <v>568</v>
      </c>
      <c r="W40" s="16142" t="s">
        <v>569</v>
      </c>
      <c r="X40" s="15963" t="s">
        <v>570</v>
      </c>
      <c r="Y40" s="15962"/>
      <c r="Z40" s="15963" t="s">
        <v>583</v>
      </c>
      <c r="AA40" s="15968"/>
      <c r="AB40" s="15962"/>
      <c r="AC40" s="16137"/>
      <c r="AD40" s="16055" t="s">
        <v>568</v>
      </c>
      <c r="AE40" s="16142" t="s">
        <v>569</v>
      </c>
      <c r="AF40" s="15963" t="s">
        <v>570</v>
      </c>
      <c r="AG40" s="15962"/>
      <c r="AH40" s="15963" t="s">
        <v>571</v>
      </c>
      <c r="AI40" s="15968"/>
      <c r="AJ40" s="15962"/>
      <c r="AK40" s="16137"/>
      <c r="AL40" s="16140"/>
      <c r="AM40" s="15992"/>
    </row>
    <row r="41" spans="1:44" ht="33.75" customHeight="1">
      <c r="A41" s="1247"/>
      <c r="B41" s="1247" t="s">
        <v>170</v>
      </c>
      <c r="C41" s="1247" t="s">
        <v>171</v>
      </c>
      <c r="D41" s="1247" t="s">
        <v>172</v>
      </c>
      <c r="E41" s="1241" t="s">
        <v>572</v>
      </c>
      <c r="F41" s="1241" t="s">
        <v>573</v>
      </c>
      <c r="G41" s="1241" t="s">
        <v>574</v>
      </c>
      <c r="H41" s="1241" t="s">
        <v>575</v>
      </c>
      <c r="I41" s="1241" t="s">
        <v>576</v>
      </c>
      <c r="J41" s="1241" t="s">
        <v>577</v>
      </c>
      <c r="K41" s="1241" t="s">
        <v>578</v>
      </c>
      <c r="L41" s="1241" t="s">
        <v>553</v>
      </c>
      <c r="Q41" s="291"/>
      <c r="R41" s="291"/>
      <c r="S41" s="16132"/>
      <c r="T41" s="16084"/>
      <c r="U41" s="219"/>
      <c r="V41" s="16103"/>
      <c r="W41" s="16143"/>
      <c r="X41" s="1104" t="s">
        <v>579</v>
      </c>
      <c r="Y41" s="1104" t="s">
        <v>580</v>
      </c>
      <c r="Z41" s="1216" t="s">
        <v>581</v>
      </c>
      <c r="AA41" s="16092" t="s">
        <v>582</v>
      </c>
      <c r="AB41" s="16094"/>
      <c r="AC41" s="16138"/>
      <c r="AD41" s="16103"/>
      <c r="AE41" s="16143"/>
      <c r="AF41" s="1104" t="s">
        <v>579</v>
      </c>
      <c r="AG41" s="1104" t="s">
        <v>580</v>
      </c>
      <c r="AH41" s="1216" t="s">
        <v>581</v>
      </c>
      <c r="AI41" s="16092" t="s">
        <v>582</v>
      </c>
      <c r="AJ41" s="16094"/>
      <c r="AK41" s="16138"/>
      <c r="AL41" s="16141"/>
      <c r="AM41" s="15992"/>
    </row>
    <row r="42" spans="1:44" s="14405"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147</v>
      </c>
      <c r="T42" s="1137" t="s">
        <v>102</v>
      </c>
      <c r="U42" s="1127" t="str">
        <f ca="1">OFFSET(U42,0,-1)</f>
        <v>2</v>
      </c>
      <c r="V42" s="1213">
        <f ca="1">OFFSET(V42,0,-1)+1</f>
        <v>3</v>
      </c>
      <c r="W42" s="1213"/>
      <c r="X42" s="1213">
        <f ca="1">OFFSET(X42,0,-1)+1</f>
        <v>1</v>
      </c>
      <c r="Y42" s="1213">
        <f ca="1">OFFSET(Y42,0,-1)+1</f>
        <v>2</v>
      </c>
      <c r="Z42" s="1213">
        <f ca="1">OFFSET(Z42,0,-1)+1</f>
        <v>3</v>
      </c>
      <c r="AA42" s="16131">
        <f ca="1">OFFSET(AA42,0,-1)+1</f>
        <v>4</v>
      </c>
      <c r="AB42" s="16131"/>
      <c r="AC42" s="1213">
        <f ca="1">OFFSET(AC42,0,-2)+1</f>
        <v>5</v>
      </c>
      <c r="AD42" s="1213">
        <f ca="1">OFFSET(AD42,0,-1)+1</f>
        <v>6</v>
      </c>
      <c r="AE42" s="1213"/>
      <c r="AF42" s="1213">
        <f ca="1">OFFSET(AF42,0,-1)+1</f>
        <v>1</v>
      </c>
      <c r="AG42" s="1213">
        <f ca="1">OFFSET(AG42,0,-1)+1</f>
        <v>2</v>
      </c>
      <c r="AH42" s="1213">
        <f ca="1">OFFSET(AH42,0,-1)+1</f>
        <v>3</v>
      </c>
      <c r="AI42" s="16131">
        <f ca="1">OFFSET(AI42,0,-1)+1</f>
        <v>4</v>
      </c>
      <c r="AJ42" s="16131"/>
      <c r="AK42" s="1213">
        <f ca="1">OFFSET(AK42,0,-2)+1</f>
        <v>5</v>
      </c>
      <c r="AL42" s="1127">
        <f ca="1">OFFSET(AL42,0,-1)</f>
        <v>5</v>
      </c>
      <c r="AM42" s="1213">
        <f ca="1">OFFSET(AM42,0,-1)+1</f>
        <v>6</v>
      </c>
      <c r="AN42" s="418"/>
      <c r="AO42" s="418"/>
      <c r="AP42" s="418"/>
      <c r="AQ42" s="418"/>
      <c r="AR42" s="418"/>
    </row>
    <row r="43" spans="1:44" ht="21" customHeight="1">
      <c r="A43" s="1240" t="s">
        <v>193</v>
      </c>
      <c r="B43" s="1240"/>
      <c r="C43" s="1240"/>
      <c r="D43" s="1240"/>
      <c r="E43" s="16124">
        <v>1</v>
      </c>
      <c r="F43" s="1240"/>
      <c r="G43" s="1240"/>
      <c r="H43" s="1240"/>
      <c r="I43" s="1240"/>
      <c r="J43" s="1240"/>
      <c r="K43" s="1240"/>
      <c r="L43" s="1241"/>
      <c r="M43" s="1242"/>
      <c r="N43" s="1242"/>
      <c r="O43" s="1242"/>
      <c r="P43" s="277"/>
      <c r="Q43" s="276"/>
      <c r="R43" s="271"/>
      <c r="S43" s="1214">
        <f>INDEX(PT_DIFFERENTIATION_NUM_NTAR,MATCH(A43,PT_DIFFERENTIATION_NTAR_ID,0))</f>
        <v>0</v>
      </c>
      <c r="T43" s="215" t="s">
        <v>158</v>
      </c>
      <c r="U43" s="217"/>
      <c r="V43" s="16110"/>
      <c r="W43" s="16111"/>
      <c r="X43" s="16111"/>
      <c r="Y43" s="16111"/>
      <c r="Z43" s="16111"/>
      <c r="AA43" s="16111"/>
      <c r="AB43" s="16111"/>
      <c r="AC43" s="16112"/>
      <c r="AD43" s="16110" t="str">
        <f>INDEX(PT_DIFFERENTIATION_NTAR,MATCH(A43,PT_DIFFERENTIATION_NTAR_ID,0))</f>
        <v/>
      </c>
      <c r="AE43" s="16111"/>
      <c r="AF43" s="16111"/>
      <c r="AG43" s="16111"/>
      <c r="AH43" s="16111"/>
      <c r="AI43" s="16111"/>
      <c r="AJ43" s="16111"/>
      <c r="AK43" s="16111"/>
      <c r="AL43" s="16112"/>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193</v>
      </c>
      <c r="B44" s="1240" t="s">
        <v>194</v>
      </c>
      <c r="C44" s="1240"/>
      <c r="D44" s="1240"/>
      <c r="E44" s="16125"/>
      <c r="F44" s="16124">
        <v>1</v>
      </c>
      <c r="G44" s="1240"/>
      <c r="H44" s="1240"/>
      <c r="I44" s="1240"/>
      <c r="J44" s="1240"/>
      <c r="K44" s="1240"/>
      <c r="L44" s="1241"/>
      <c r="M44" s="1242"/>
      <c r="N44" s="1242"/>
      <c r="O44" s="1242"/>
      <c r="P44" s="1210"/>
      <c r="Q44" s="268"/>
      <c r="R44" s="269"/>
      <c r="S44" s="1214" t="str">
        <f>INDEX(PT_DIFFERENTIATION_NUM_TER,MATCH(B44,PT_DIFFERENTIATION_TER_ID,0))</f>
        <v>.</v>
      </c>
      <c r="T44" s="225" t="s">
        <v>534</v>
      </c>
      <c r="U44" s="217"/>
      <c r="V44" s="16110"/>
      <c r="W44" s="16111"/>
      <c r="X44" s="16111"/>
      <c r="Y44" s="16111"/>
      <c r="Z44" s="16111"/>
      <c r="AA44" s="16111"/>
      <c r="AB44" s="16111"/>
      <c r="AC44" s="16112"/>
      <c r="AD44" s="16110" t="str">
        <f>INDEX(PT_DIFFERENTIATION_TER,MATCH(B44,PT_DIFFERENTIATION_TER_ID,0))</f>
        <v/>
      </c>
      <c r="AE44" s="16111"/>
      <c r="AF44" s="16111"/>
      <c r="AG44" s="16111"/>
      <c r="AH44" s="16111"/>
      <c r="AI44" s="16111"/>
      <c r="AJ44" s="16111"/>
      <c r="AK44" s="16111"/>
      <c r="AL44" s="16112"/>
      <c r="AM44" s="1140" t="s">
        <v>535</v>
      </c>
      <c r="AO44" s="407"/>
      <c r="AP44" s="407" t="str">
        <f t="shared" si="1"/>
        <v>Территория действия тарифа</v>
      </c>
      <c r="AQ44" s="407"/>
      <c r="AR44" s="407"/>
    </row>
    <row r="45" spans="1:44" ht="23.25" customHeight="1">
      <c r="A45" s="1240" t="s">
        <v>193</v>
      </c>
      <c r="B45" s="1240" t="s">
        <v>194</v>
      </c>
      <c r="C45" s="1240" t="s">
        <v>195</v>
      </c>
      <c r="D45" s="1240"/>
      <c r="E45" s="16125"/>
      <c r="F45" s="16125"/>
      <c r="G45" s="16124">
        <v>1</v>
      </c>
      <c r="H45" s="1240"/>
      <c r="I45" s="1240"/>
      <c r="J45" s="1240"/>
      <c r="K45" s="1240"/>
      <c r="L45" s="1241"/>
      <c r="M45" s="1242"/>
      <c r="N45" s="1242"/>
      <c r="O45" s="1242"/>
      <c r="P45" s="270"/>
      <c r="Q45" s="268"/>
      <c r="R45" s="269"/>
      <c r="S45" s="1214" t="str">
        <f>INDEX(PT_DIFFERENTIATION_NUM_CS,MATCH(C45,PT_DIFFERENTIATION_CS_ID,0))</f>
        <v>..</v>
      </c>
      <c r="T45" s="226" t="s">
        <v>536</v>
      </c>
      <c r="U45" s="217"/>
      <c r="V45" s="16110"/>
      <c r="W45" s="16111"/>
      <c r="X45" s="16111"/>
      <c r="Y45" s="16111"/>
      <c r="Z45" s="16111"/>
      <c r="AA45" s="16111"/>
      <c r="AB45" s="16111"/>
      <c r="AC45" s="16112"/>
      <c r="AD45" s="16110" t="str">
        <f>INDEX(PT_DIFFERENTIATION_CS,MATCH(C45,PT_DIFFERENTIATION_CS_ID,0))</f>
        <v/>
      </c>
      <c r="AE45" s="16111"/>
      <c r="AF45" s="16111"/>
      <c r="AG45" s="16111"/>
      <c r="AH45" s="16111"/>
      <c r="AI45" s="16111"/>
      <c r="AJ45" s="16111"/>
      <c r="AK45" s="16111"/>
      <c r="AL45" s="16112"/>
      <c r="AM45" s="1140" t="s">
        <v>537</v>
      </c>
      <c r="AO45" s="407"/>
      <c r="AP45" s="407" t="str">
        <f t="shared" si="1"/>
        <v xml:space="preserve">Наименование системы теплоснабжения </v>
      </c>
      <c r="AQ45" s="407"/>
      <c r="AR45" s="407"/>
    </row>
    <row r="46" spans="1:44" ht="21" customHeight="1">
      <c r="A46" s="1240" t="s">
        <v>193</v>
      </c>
      <c r="B46" s="1240" t="s">
        <v>194</v>
      </c>
      <c r="C46" s="1240" t="s">
        <v>195</v>
      </c>
      <c r="D46" s="1240" t="s">
        <v>196</v>
      </c>
      <c r="E46" s="16125"/>
      <c r="F46" s="16125"/>
      <c r="G46" s="16125"/>
      <c r="H46" s="16124">
        <v>1</v>
      </c>
      <c r="I46" s="1240"/>
      <c r="J46" s="1240"/>
      <c r="K46" s="1240"/>
      <c r="L46" s="1241"/>
      <c r="M46" s="1242"/>
      <c r="N46" s="1242"/>
      <c r="O46" s="1242"/>
      <c r="P46" s="270"/>
      <c r="Q46" s="268"/>
      <c r="R46" s="269"/>
      <c r="S46" s="1214" t="str">
        <f>INDEX(PT_DIFFERENTIATION_NUM_IST_TE,MATCH(D46,PT_DIFFERENTIATION_IST_TE_ID,0))</f>
        <v>...</v>
      </c>
      <c r="T46" s="227" t="s">
        <v>538</v>
      </c>
      <c r="U46" s="217"/>
      <c r="V46" s="16110"/>
      <c r="W46" s="16111"/>
      <c r="X46" s="16111"/>
      <c r="Y46" s="16111"/>
      <c r="Z46" s="16111"/>
      <c r="AA46" s="16111"/>
      <c r="AB46" s="16111"/>
      <c r="AC46" s="16112"/>
      <c r="AD46" s="16110" t="str">
        <f>INDEX(PT_DIFFERENTIATION_IST_TE,MATCH(D46,PT_DIFFERENTIATION_IST_TE_ID,0))</f>
        <v/>
      </c>
      <c r="AE46" s="16111"/>
      <c r="AF46" s="16111"/>
      <c r="AG46" s="16111"/>
      <c r="AH46" s="16111"/>
      <c r="AI46" s="16111"/>
      <c r="AJ46" s="16111"/>
      <c r="AK46" s="16111"/>
      <c r="AL46" s="16112"/>
      <c r="AM46" s="1140" t="s">
        <v>539</v>
      </c>
      <c r="AO46" s="407"/>
      <c r="AP46" s="407" t="str">
        <f t="shared" si="1"/>
        <v xml:space="preserve">Источник тепловой энергии  </v>
      </c>
      <c r="AQ46" s="407"/>
      <c r="AR46" s="407"/>
    </row>
    <row r="47" spans="1:44" ht="47.25" customHeight="1">
      <c r="A47" s="1240" t="s">
        <v>193</v>
      </c>
      <c r="B47" s="1240" t="s">
        <v>194</v>
      </c>
      <c r="C47" s="1240" t="s">
        <v>195</v>
      </c>
      <c r="D47" s="1240" t="s">
        <v>196</v>
      </c>
      <c r="E47" s="16125"/>
      <c r="F47" s="16125"/>
      <c r="G47" s="16125"/>
      <c r="H47" s="16125"/>
      <c r="I47" s="16122" t="str">
        <f>S46&amp;".1"</f>
        <v>....1</v>
      </c>
      <c r="J47" s="1240"/>
      <c r="K47" s="1240"/>
      <c r="L47" s="1241" t="s">
        <v>540</v>
      </c>
      <c r="P47" s="16123">
        <v>1</v>
      </c>
      <c r="Q47" s="1209"/>
      <c r="R47" s="272"/>
      <c r="S47" s="1214" t="str">
        <f>$I47</f>
        <v>....1</v>
      </c>
      <c r="T47" s="202" t="s">
        <v>541</v>
      </c>
      <c r="U47" s="217"/>
      <c r="V47" s="16113"/>
      <c r="W47" s="16114"/>
      <c r="X47" s="16114"/>
      <c r="Y47" s="16114"/>
      <c r="Z47" s="16114"/>
      <c r="AA47" s="16114"/>
      <c r="AB47" s="16114"/>
      <c r="AC47" s="16115"/>
      <c r="AD47" s="16113"/>
      <c r="AE47" s="16114"/>
      <c r="AF47" s="16114"/>
      <c r="AG47" s="16114"/>
      <c r="AH47" s="16114"/>
      <c r="AI47" s="16114"/>
      <c r="AJ47" s="16114"/>
      <c r="AK47" s="16114"/>
      <c r="AL47" s="16115"/>
      <c r="AM47" s="1140" t="s">
        <v>542</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0" t="s">
        <v>193</v>
      </c>
      <c r="B48" s="1240" t="s">
        <v>194</v>
      </c>
      <c r="C48" s="1240" t="s">
        <v>195</v>
      </c>
      <c r="D48" s="1240" t="s">
        <v>196</v>
      </c>
      <c r="E48" s="16125"/>
      <c r="F48" s="16125"/>
      <c r="G48" s="16125"/>
      <c r="H48" s="16125"/>
      <c r="I48" s="16145"/>
      <c r="J48" s="16122" t="str">
        <f>I47&amp;".1"</f>
        <v>....1.1</v>
      </c>
      <c r="K48" s="1240"/>
      <c r="L48" s="1241" t="s">
        <v>543</v>
      </c>
      <c r="P48" s="16123"/>
      <c r="Q48" s="16123">
        <v>1</v>
      </c>
      <c r="R48" s="273"/>
      <c r="S48" s="1214" t="str">
        <f>$J48</f>
        <v>....1.1</v>
      </c>
      <c r="T48" s="203" t="s">
        <v>544</v>
      </c>
      <c r="U48" s="217"/>
      <c r="V48" s="16113"/>
      <c r="W48" s="16114"/>
      <c r="X48" s="16114"/>
      <c r="Y48" s="16114"/>
      <c r="Z48" s="16114"/>
      <c r="AA48" s="16114"/>
      <c r="AB48" s="16114"/>
      <c r="AC48" s="16115"/>
      <c r="AD48" s="16113"/>
      <c r="AE48" s="16114"/>
      <c r="AF48" s="16114"/>
      <c r="AG48" s="16114"/>
      <c r="AH48" s="16114"/>
      <c r="AI48" s="16114"/>
      <c r="AJ48" s="16114"/>
      <c r="AK48" s="16114"/>
      <c r="AL48" s="16115"/>
      <c r="AM48" s="1140" t="s">
        <v>545</v>
      </c>
      <c r="AO48" s="407"/>
      <c r="AP48" s="407" t="str">
        <f t="shared" si="1"/>
        <v>Группа потребителей</v>
      </c>
      <c r="AQ48" s="407"/>
      <c r="AR48" s="407"/>
    </row>
    <row r="49" spans="1:44" ht="21" customHeight="1">
      <c r="A49" s="1240" t="s">
        <v>193</v>
      </c>
      <c r="B49" s="1240" t="s">
        <v>194</v>
      </c>
      <c r="C49" s="1240" t="s">
        <v>195</v>
      </c>
      <c r="D49" s="1240" t="s">
        <v>196</v>
      </c>
      <c r="E49" s="16125"/>
      <c r="F49" s="16125"/>
      <c r="G49" s="16125"/>
      <c r="H49" s="16125"/>
      <c r="I49" s="16145"/>
      <c r="J49" s="16145"/>
      <c r="K49" s="16122" t="str">
        <f>J48&amp;".1"</f>
        <v>....1.1.1</v>
      </c>
      <c r="L49" s="1241" t="s">
        <v>546</v>
      </c>
      <c r="P49" s="16123"/>
      <c r="Q49" s="16123"/>
      <c r="R49" s="273">
        <v>1</v>
      </c>
      <c r="S49" s="1214" t="str">
        <f>$K49</f>
        <v>....1.1.1</v>
      </c>
      <c r="T49" s="1225"/>
      <c r="U49" s="217"/>
      <c r="V49" s="649"/>
      <c r="W49" s="242"/>
      <c r="X49" s="649"/>
      <c r="Y49" s="1139"/>
      <c r="Z49" s="16127"/>
      <c r="AA49" s="15973" t="s">
        <v>66</v>
      </c>
      <c r="AB49" s="16127"/>
      <c r="AC49" s="15973" t="s">
        <v>66</v>
      </c>
      <c r="AD49" s="649"/>
      <c r="AE49" s="242"/>
      <c r="AF49" s="649"/>
      <c r="AG49" s="1139"/>
      <c r="AH49" s="16127"/>
      <c r="AI49" s="15973" t="s">
        <v>66</v>
      </c>
      <c r="AJ49" s="16146"/>
      <c r="AK49" s="15973" t="s">
        <v>66</v>
      </c>
      <c r="AL49" s="1226"/>
      <c r="AM49" s="16119" t="s">
        <v>547</v>
      </c>
      <c r="AN49" s="418" t="e">
        <f ca="1">STRCHECKDATE(V50:AL50)</f>
        <v>#NAME?</v>
      </c>
      <c r="AO49" s="407"/>
      <c r="AP49" s="407" t="str">
        <f t="shared" si="1"/>
        <v/>
      </c>
      <c r="AQ49" s="407"/>
      <c r="AR49" s="407"/>
    </row>
    <row r="50" spans="1:44" ht="0.75" customHeight="1">
      <c r="A50" s="1240" t="s">
        <v>193</v>
      </c>
      <c r="B50" s="1240" t="s">
        <v>194</v>
      </c>
      <c r="C50" s="1240" t="s">
        <v>195</v>
      </c>
      <c r="D50" s="1240" t="s">
        <v>196</v>
      </c>
      <c r="E50" s="16125"/>
      <c r="F50" s="16125"/>
      <c r="G50" s="16125"/>
      <c r="H50" s="16125"/>
      <c r="I50" s="16145"/>
      <c r="J50" s="16145"/>
      <c r="K50" s="16122"/>
      <c r="L50" s="1241"/>
      <c r="P50" s="16123"/>
      <c r="Q50" s="16123"/>
      <c r="R50" s="273"/>
      <c r="S50" s="1220"/>
      <c r="T50" s="217"/>
      <c r="U50" s="217"/>
      <c r="V50" s="242"/>
      <c r="W50" s="242"/>
      <c r="X50" s="242"/>
      <c r="Y50" s="245" t="str">
        <f>Z49&amp;"-"&amp;AB49</f>
        <v>-</v>
      </c>
      <c r="Z50" s="16128"/>
      <c r="AA50" s="15973"/>
      <c r="AB50" s="16128"/>
      <c r="AC50" s="15973"/>
      <c r="AD50" s="242"/>
      <c r="AE50" s="242"/>
      <c r="AF50" s="242"/>
      <c r="AG50" s="245" t="str">
        <f>AH49&amp;"-"&amp;AJ49</f>
        <v>-</v>
      </c>
      <c r="AH50" s="16128"/>
      <c r="AI50" s="15973"/>
      <c r="AJ50" s="16147"/>
      <c r="AK50" s="15973"/>
      <c r="AL50" s="1227"/>
      <c r="AM50" s="16120"/>
      <c r="AO50" s="407"/>
      <c r="AP50" s="407" t="str">
        <f t="shared" si="1"/>
        <v/>
      </c>
      <c r="AQ50" s="407"/>
      <c r="AR50" s="407"/>
    </row>
    <row r="51" spans="1:44" ht="11.25" customHeight="1">
      <c r="A51" s="1240" t="s">
        <v>193</v>
      </c>
      <c r="B51" s="1240" t="s">
        <v>194</v>
      </c>
      <c r="C51" s="1240" t="s">
        <v>195</v>
      </c>
      <c r="D51" s="1240" t="s">
        <v>196</v>
      </c>
      <c r="E51" s="16125"/>
      <c r="F51" s="16125"/>
      <c r="G51" s="16125"/>
      <c r="H51" s="16125"/>
      <c r="I51" s="16145"/>
      <c r="J51" s="16122"/>
      <c r="K51" s="1240"/>
      <c r="L51" s="1241"/>
      <c r="P51" s="16123"/>
      <c r="Q51" s="16123"/>
      <c r="R51" s="272"/>
      <c r="S51" s="1160"/>
      <c r="T51" s="205" t="s">
        <v>548</v>
      </c>
      <c r="U51" s="282"/>
      <c r="V51" s="282"/>
      <c r="W51" s="282"/>
      <c r="X51" s="282"/>
      <c r="Y51" s="282"/>
      <c r="Z51" s="282"/>
      <c r="AA51" s="282"/>
      <c r="AB51" s="282"/>
      <c r="AC51" s="282"/>
      <c r="AD51" s="282"/>
      <c r="AE51" s="282"/>
      <c r="AF51" s="282"/>
      <c r="AG51" s="282"/>
      <c r="AH51" s="282"/>
      <c r="AI51" s="282"/>
      <c r="AJ51" s="282"/>
      <c r="AK51" s="282"/>
      <c r="AL51" s="241"/>
      <c r="AM51" s="16121"/>
      <c r="AO51" s="407"/>
      <c r="AP51" s="407" t="str">
        <f t="shared" si="1"/>
        <v>Добавить вид теплоносителя (параметры теплоносителя)</v>
      </c>
      <c r="AQ51" s="407"/>
      <c r="AR51" s="407"/>
    </row>
    <row r="52" spans="1:44" ht="11.25" customHeight="1">
      <c r="A52" s="1240" t="s">
        <v>193</v>
      </c>
      <c r="B52" s="1240" t="s">
        <v>194</v>
      </c>
      <c r="C52" s="1240" t="s">
        <v>195</v>
      </c>
      <c r="D52" s="1240" t="s">
        <v>196</v>
      </c>
      <c r="E52" s="16125"/>
      <c r="F52" s="16125"/>
      <c r="G52" s="16125"/>
      <c r="H52" s="16125"/>
      <c r="I52" s="16122"/>
      <c r="J52" s="1240"/>
      <c r="K52" s="1240"/>
      <c r="L52" s="1241"/>
      <c r="P52" s="16123"/>
      <c r="Q52" s="1209"/>
      <c r="R52" s="272"/>
      <c r="S52" s="1160"/>
      <c r="T52" s="204" t="s">
        <v>549</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0" t="s">
        <v>193</v>
      </c>
      <c r="B53" s="1240" t="s">
        <v>194</v>
      </c>
      <c r="C53" s="1240" t="s">
        <v>195</v>
      </c>
      <c r="D53" s="1240" t="s">
        <v>196</v>
      </c>
      <c r="E53" s="16125"/>
      <c r="F53" s="16125"/>
      <c r="G53" s="16125"/>
      <c r="H53" s="16124"/>
      <c r="I53" s="1240"/>
      <c r="J53" s="1240"/>
      <c r="K53" s="1240"/>
      <c r="L53" s="1241"/>
      <c r="M53" s="1242"/>
      <c r="N53" s="1242"/>
      <c r="O53" s="443"/>
      <c r="P53" s="276"/>
      <c r="Q53" s="290"/>
      <c r="R53" s="271"/>
      <c r="S53" s="1160"/>
      <c r="T53" s="280" t="s">
        <v>550</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4418" customFormat="1" ht="0.75" customHeight="1">
      <c r="A54" s="1221" t="s">
        <v>193</v>
      </c>
      <c r="B54" s="1221" t="s">
        <v>194</v>
      </c>
      <c r="C54" s="1221" t="s">
        <v>195</v>
      </c>
      <c r="D54" s="1193"/>
      <c r="E54" s="16125"/>
      <c r="F54" s="16125"/>
      <c r="G54" s="16124"/>
      <c r="H54" s="1193"/>
      <c r="I54" s="1193"/>
      <c r="J54" s="1193"/>
      <c r="K54" s="1193"/>
      <c r="L54" s="1217"/>
      <c r="M54" s="1194"/>
      <c r="N54" s="1194"/>
      <c r="P54" s="1195"/>
      <c r="Q54" s="1196"/>
      <c r="R54" s="1195"/>
      <c r="S54" s="1201"/>
      <c r="T54" s="1204" t="s">
        <v>551</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4418" customFormat="1" ht="0.75" customHeight="1">
      <c r="A55" s="1221" t="s">
        <v>193</v>
      </c>
      <c r="B55" s="1221" t="s">
        <v>194</v>
      </c>
      <c r="C55" s="1193"/>
      <c r="D55" s="1193"/>
      <c r="E55" s="16125"/>
      <c r="F55" s="16124"/>
      <c r="G55" s="1193"/>
      <c r="H55" s="1193"/>
      <c r="I55" s="1193"/>
      <c r="J55" s="1193"/>
      <c r="K55" s="1193"/>
      <c r="L55" s="1217"/>
      <c r="M55" s="1200"/>
      <c r="N55" s="1200"/>
      <c r="P55" s="1195"/>
      <c r="Q55" s="1196"/>
      <c r="R55" s="1195"/>
      <c r="S55" s="1201"/>
      <c r="T55" s="1204" t="s">
        <v>290</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4421" customFormat="1" ht="0.75" customHeight="1">
      <c r="A56" s="1221" t="s">
        <v>193</v>
      </c>
      <c r="B56" s="1221"/>
      <c r="C56" s="1221"/>
      <c r="D56" s="1221"/>
      <c r="E56" s="16124"/>
      <c r="F56" s="1221"/>
      <c r="G56" s="1221"/>
      <c r="H56" s="1221"/>
      <c r="I56" s="1221"/>
      <c r="J56" s="1221"/>
      <c r="K56" s="1221"/>
      <c r="L56" s="1224"/>
      <c r="M56" s="1200"/>
      <c r="N56" s="1200"/>
      <c r="O56" s="425"/>
      <c r="P56" s="295"/>
      <c r="Q56" s="1222"/>
      <c r="R56" s="295"/>
      <c r="S56" s="1201"/>
      <c r="T56" s="1204" t="s">
        <v>326</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4418"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390</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5"/>
      <c r="T59" s="16144"/>
      <c r="U59" s="16144"/>
      <c r="V59" s="16144"/>
      <c r="W59" s="16144"/>
      <c r="X59" s="16144"/>
      <c r="Y59" s="16144"/>
      <c r="Z59" s="16144"/>
      <c r="AA59" s="16144"/>
      <c r="AB59" s="16144"/>
      <c r="AC59" s="16144"/>
      <c r="AD59" s="16144"/>
      <c r="AE59" s="16144"/>
      <c r="AF59" s="16144"/>
      <c r="AG59" s="16144"/>
      <c r="AH59" s="16144"/>
      <c r="AI59" s="16144"/>
      <c r="AJ59" s="16144"/>
      <c r="AK59" s="16144"/>
      <c r="AL59" s="16144"/>
      <c r="AM59" s="16144"/>
    </row>
    <row r="60" spans="1:44" ht="62.25" customHeight="1">
      <c r="O60" s="443"/>
      <c r="T60" s="16144"/>
      <c r="U60" s="16144"/>
      <c r="V60" s="16144"/>
      <c r="W60" s="16144"/>
      <c r="X60" s="16144"/>
      <c r="Y60" s="16144"/>
      <c r="Z60" s="16144"/>
      <c r="AA60" s="16144"/>
      <c r="AB60" s="16144"/>
      <c r="AC60" s="16144"/>
      <c r="AD60" s="16144"/>
      <c r="AE60" s="16144"/>
      <c r="AF60" s="16144"/>
      <c r="AG60" s="16144"/>
      <c r="AH60" s="16144"/>
      <c r="AI60" s="16144"/>
      <c r="AJ60" s="16144"/>
      <c r="AK60" s="16144"/>
      <c r="AL60" s="16144"/>
      <c r="AM60" s="16144"/>
    </row>
    <row r="61" spans="1:44" ht="14.25" customHeight="1">
      <c r="O61" s="443"/>
    </row>
    <row r="62" spans="1:44" ht="18" customHeight="1">
      <c r="O62" s="443"/>
      <c r="S62" s="1135"/>
      <c r="T62" s="16144"/>
      <c r="U62" s="16144"/>
      <c r="V62" s="16144"/>
      <c r="W62" s="16144"/>
      <c r="X62" s="16144"/>
      <c r="Y62" s="16144"/>
      <c r="Z62" s="16144"/>
      <c r="AA62" s="16144"/>
      <c r="AB62" s="16144"/>
      <c r="AC62" s="16144"/>
      <c r="AD62" s="16144"/>
      <c r="AE62" s="16144"/>
      <c r="AF62" s="16144"/>
      <c r="AG62" s="16144"/>
      <c r="AH62" s="16144"/>
      <c r="AI62" s="16144"/>
      <c r="AJ62" s="16144"/>
      <c r="AK62" s="16144"/>
      <c r="AL62" s="16144"/>
      <c r="AM62" s="16144"/>
    </row>
    <row r="63" spans="1:44" ht="18" customHeight="1">
      <c r="O63" s="443"/>
      <c r="T63" s="16144"/>
      <c r="U63" s="16144"/>
      <c r="V63" s="16144"/>
      <c r="W63" s="16144"/>
      <c r="X63" s="16144"/>
      <c r="Y63" s="16144"/>
      <c r="Z63" s="16144"/>
      <c r="AA63" s="16144"/>
      <c r="AB63" s="16144"/>
      <c r="AC63" s="16144"/>
      <c r="AD63" s="16144"/>
      <c r="AE63" s="16144"/>
      <c r="AF63" s="16144"/>
      <c r="AG63" s="16144"/>
      <c r="AH63" s="16144"/>
      <c r="AI63" s="16144"/>
      <c r="AJ63" s="16144"/>
      <c r="AK63" s="16144"/>
      <c r="AL63" s="16144"/>
      <c r="AM63" s="16144"/>
    </row>
    <row r="64" spans="1:44" ht="27.75" customHeight="1">
      <c r="O64" s="443"/>
      <c r="S64" s="1135"/>
      <c r="T64" s="16144"/>
      <c r="U64" s="16144"/>
      <c r="V64" s="16144"/>
      <c r="W64" s="16144"/>
      <c r="X64" s="16144"/>
      <c r="Y64" s="16144"/>
      <c r="Z64" s="16144"/>
      <c r="AA64" s="16144"/>
      <c r="AB64" s="16144"/>
      <c r="AC64" s="16144"/>
      <c r="AD64" s="16144"/>
      <c r="AE64" s="16144"/>
      <c r="AF64" s="16144"/>
      <c r="AG64" s="16144"/>
      <c r="AH64" s="16144"/>
      <c r="AI64" s="16144"/>
      <c r="AJ64" s="16144"/>
      <c r="AK64" s="16144"/>
      <c r="AL64" s="16144"/>
      <c r="AM64" s="1614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4433" hidden="1"/>
    <col min="2" max="2" width="11" style="14433" hidden="1" customWidth="1"/>
    <col min="3" max="3" width="10.5703125" style="14433" hidden="1"/>
    <col min="4" max="4" width="11.85546875" style="14433" hidden="1" customWidth="1"/>
    <col min="5" max="5" width="10" style="14433" hidden="1" customWidth="1"/>
    <col min="6" max="6" width="8.7109375" style="14433" hidden="1" customWidth="1"/>
    <col min="7" max="7" width="7.5703125" style="14433" hidden="1" customWidth="1"/>
    <col min="8" max="8" width="11.42578125" style="14433" hidden="1" customWidth="1"/>
    <col min="9" max="9" width="12" style="14433" hidden="1" customWidth="1"/>
    <col min="10" max="10" width="9.85546875" style="14433" hidden="1" customWidth="1"/>
    <col min="11" max="11" width="11.42578125" style="14433" hidden="1" customWidth="1"/>
    <col min="12" max="12" width="19.140625" style="14434" hidden="1" customWidth="1"/>
    <col min="13" max="14" width="12.28515625" style="14435" hidden="1" customWidth="1"/>
    <col min="15" max="15" width="23.42578125" style="14435" hidden="1" customWidth="1"/>
    <col min="16" max="16" width="3.7109375" style="14435" customWidth="1"/>
    <col min="17" max="18" width="3.7109375" style="14425" customWidth="1"/>
    <col min="19" max="19" width="12.7109375" style="14426" customWidth="1"/>
    <col min="20" max="20" width="32" style="14433" customWidth="1"/>
    <col min="21" max="21" width="0.140625" style="14433" customWidth="1"/>
    <col min="22" max="22" width="24.7109375" style="14433" hidden="1" customWidth="1"/>
    <col min="23" max="23" width="0.140625" style="14433" hidden="1" customWidth="1"/>
    <col min="24" max="25" width="24.7109375" style="14433" hidden="1" customWidth="1"/>
    <col min="26" max="26" width="11.7109375" style="14433" hidden="1" customWidth="1"/>
    <col min="27" max="27" width="3.7109375" style="14433" hidden="1" customWidth="1"/>
    <col min="28" max="28" width="11.7109375" style="14433" hidden="1" customWidth="1"/>
    <col min="29" max="29" width="8.5703125" style="14433" hidden="1" customWidth="1"/>
    <col min="30" max="30" width="24.7109375" style="14433" customWidth="1"/>
    <col min="31" max="31" width="0.140625" style="14433" customWidth="1"/>
    <col min="32" max="33" width="24.7109375" style="14433" customWidth="1"/>
    <col min="34" max="34" width="11.7109375" style="14433" customWidth="1"/>
    <col min="35" max="35" width="3.7109375" style="14433" customWidth="1"/>
    <col min="36" max="36" width="11.7109375" style="14433" customWidth="1"/>
    <col min="37" max="37" width="8.5703125" style="14433" hidden="1" customWidth="1"/>
    <col min="38" max="38" width="4.7109375" style="14433" customWidth="1"/>
    <col min="39" max="39" width="115.7109375" style="14433" customWidth="1"/>
    <col min="40" max="41" width="10.5703125" style="14432"/>
    <col min="42" max="42" width="11.140625" style="14432" customWidth="1"/>
    <col min="43" max="44" width="10.5703125" style="14432"/>
  </cols>
  <sheetData>
    <row r="1" spans="1:44" ht="14.25" hidden="1" customHeight="1"/>
    <row r="2" spans="1:44" ht="21" hidden="1" customHeight="1">
      <c r="A2" s="1149"/>
      <c r="B2" s="1149"/>
      <c r="C2" s="1149"/>
      <c r="D2" s="1149"/>
      <c r="E2" s="16148">
        <v>1</v>
      </c>
      <c r="F2" s="1149"/>
      <c r="G2" s="1149"/>
      <c r="H2" s="1149"/>
      <c r="I2" s="1149"/>
      <c r="J2" s="1149"/>
      <c r="K2" s="1149"/>
      <c r="L2" s="1189"/>
      <c r="M2" s="1476"/>
      <c r="N2" s="1476"/>
      <c r="O2" s="1476"/>
      <c r="P2" s="1458"/>
      <c r="Q2" s="276"/>
      <c r="R2" s="271"/>
      <c r="S2" s="1818" t="e">
        <f>INDEX(PT_DIFFERENTIATION_NUM_NTAR,MATCH(A2,PT_DIFFERENTIATION_NTAR_ID,0))</f>
        <v>#N/A</v>
      </c>
      <c r="T2" s="1396" t="s">
        <v>158</v>
      </c>
      <c r="U2" s="217"/>
      <c r="V2" s="16110"/>
      <c r="W2" s="16111"/>
      <c r="X2" s="16111"/>
      <c r="Y2" s="16111"/>
      <c r="Z2" s="16111"/>
      <c r="AA2" s="16111"/>
      <c r="AB2" s="16111"/>
      <c r="AC2" s="16112"/>
      <c r="AD2" s="16110" t="e">
        <f>INDEX(PT_DIFFERENTIATION_NTAR,MATCH(A2,PT_DIFFERENTIATION_NTAR_ID,0))</f>
        <v>#N/A</v>
      </c>
      <c r="AE2" s="16111"/>
      <c r="AF2" s="16111"/>
      <c r="AG2" s="16111"/>
      <c r="AH2" s="16111"/>
      <c r="AI2" s="16111"/>
      <c r="AJ2" s="16111"/>
      <c r="AK2" s="16111"/>
      <c r="AL2" s="16112"/>
      <c r="AM2" s="1140" t="s">
        <v>533</v>
      </c>
      <c r="AO2" s="1487"/>
      <c r="AP2" s="1487" t="str">
        <f t="shared" ref="AP2:AP15" si="0">IF(T2="","",T2)</f>
        <v>Наименование тарифа</v>
      </c>
      <c r="AQ2" s="1487"/>
      <c r="AR2" s="1487"/>
    </row>
    <row r="3" spans="1:44" ht="21" hidden="1" customHeight="1">
      <c r="A3" s="1149"/>
      <c r="B3" s="1149"/>
      <c r="C3" s="1149"/>
      <c r="D3" s="1149"/>
      <c r="E3" s="16149"/>
      <c r="F3" s="16148">
        <v>1</v>
      </c>
      <c r="G3" s="1149"/>
      <c r="H3" s="1149"/>
      <c r="I3" s="1149"/>
      <c r="J3" s="1149"/>
      <c r="K3" s="1149"/>
      <c r="L3" s="1189"/>
      <c r="M3" s="1476"/>
      <c r="N3" s="1476"/>
      <c r="O3" s="1476"/>
      <c r="P3" s="1800"/>
      <c r="Q3" s="268"/>
      <c r="R3" s="269"/>
      <c r="S3" s="1818" t="e">
        <f>INDEX(PT_DIFFERENTIATION_NUM_TER,MATCH(B3,PT_DIFFERENTIATION_TER_ID,0))</f>
        <v>#N/A</v>
      </c>
      <c r="T3" s="1393" t="s">
        <v>534</v>
      </c>
      <c r="U3" s="217"/>
      <c r="V3" s="16110"/>
      <c r="W3" s="16111"/>
      <c r="X3" s="16111"/>
      <c r="Y3" s="16111"/>
      <c r="Z3" s="16111"/>
      <c r="AA3" s="16111"/>
      <c r="AB3" s="16111"/>
      <c r="AC3" s="16112"/>
      <c r="AD3" s="16110" t="e">
        <f>INDEX(PT_DIFFERENTIATION_TER,MATCH(B3,PT_DIFFERENTIATION_TER_ID,0))</f>
        <v>#N/A</v>
      </c>
      <c r="AE3" s="16111"/>
      <c r="AF3" s="16111"/>
      <c r="AG3" s="16111"/>
      <c r="AH3" s="16111"/>
      <c r="AI3" s="16111"/>
      <c r="AJ3" s="16111"/>
      <c r="AK3" s="16111"/>
      <c r="AL3" s="16112"/>
      <c r="AM3" s="1140" t="s">
        <v>535</v>
      </c>
      <c r="AO3" s="1487"/>
      <c r="AP3" s="1487" t="str">
        <f t="shared" si="0"/>
        <v>Территория действия тарифа</v>
      </c>
      <c r="AQ3" s="1487"/>
      <c r="AR3" s="1487"/>
    </row>
    <row r="4" spans="1:44" ht="23.25" hidden="1" customHeight="1">
      <c r="A4" s="1149"/>
      <c r="B4" s="1149"/>
      <c r="C4" s="1149"/>
      <c r="D4" s="1149"/>
      <c r="E4" s="16149"/>
      <c r="F4" s="16149"/>
      <c r="G4" s="16148">
        <v>1</v>
      </c>
      <c r="H4" s="1149"/>
      <c r="I4" s="1149"/>
      <c r="J4" s="1149"/>
      <c r="K4" s="1149"/>
      <c r="L4" s="1189"/>
      <c r="M4" s="1476"/>
      <c r="N4" s="1476"/>
      <c r="O4" s="1476"/>
      <c r="P4" s="270"/>
      <c r="Q4" s="268"/>
      <c r="R4" s="269"/>
      <c r="S4" s="1818" t="e">
        <f>INDEX(PT_DIFFERENTIATION_NUM_CS,MATCH(C4,PT_DIFFERENTIATION_CS_ID,0))</f>
        <v>#N/A</v>
      </c>
      <c r="T4" s="226" t="s">
        <v>536</v>
      </c>
      <c r="U4" s="217"/>
      <c r="V4" s="16110"/>
      <c r="W4" s="16111"/>
      <c r="X4" s="16111"/>
      <c r="Y4" s="16111"/>
      <c r="Z4" s="16111"/>
      <c r="AA4" s="16111"/>
      <c r="AB4" s="16111"/>
      <c r="AC4" s="16112"/>
      <c r="AD4" s="16110" t="e">
        <f>INDEX(PT_DIFFERENTIATION_CS,MATCH(C4,PT_DIFFERENTIATION_CS_ID,0))</f>
        <v>#N/A</v>
      </c>
      <c r="AE4" s="16111"/>
      <c r="AF4" s="16111"/>
      <c r="AG4" s="16111"/>
      <c r="AH4" s="16111"/>
      <c r="AI4" s="16111"/>
      <c r="AJ4" s="16111"/>
      <c r="AK4" s="16111"/>
      <c r="AL4" s="16112"/>
      <c r="AM4" s="1140" t="s">
        <v>537</v>
      </c>
      <c r="AO4" s="1487"/>
      <c r="AP4" s="1487" t="str">
        <f t="shared" si="0"/>
        <v xml:space="preserve">Наименование системы теплоснабжения </v>
      </c>
      <c r="AQ4" s="1487"/>
      <c r="AR4" s="1487"/>
    </row>
    <row r="5" spans="1:44" ht="21" hidden="1" customHeight="1">
      <c r="A5" s="1149"/>
      <c r="B5" s="1149"/>
      <c r="C5" s="1149"/>
      <c r="D5" s="1149"/>
      <c r="E5" s="16149"/>
      <c r="F5" s="16149"/>
      <c r="G5" s="16149"/>
      <c r="H5" s="16148">
        <v>1</v>
      </c>
      <c r="I5" s="1149"/>
      <c r="J5" s="1149"/>
      <c r="K5" s="1149"/>
      <c r="L5" s="1189"/>
      <c r="M5" s="1476"/>
      <c r="N5" s="1476"/>
      <c r="O5" s="1476"/>
      <c r="P5" s="270"/>
      <c r="Q5" s="268"/>
      <c r="R5" s="269"/>
      <c r="S5" s="1818" t="e">
        <f>INDEX(PT_DIFFERENTIATION_NUM_IST_TE,MATCH(D5,PT_DIFFERENTIATION_IST_TE_ID,0))</f>
        <v>#N/A</v>
      </c>
      <c r="T5" s="227" t="s">
        <v>538</v>
      </c>
      <c r="U5" s="217"/>
      <c r="V5" s="16110"/>
      <c r="W5" s="16111"/>
      <c r="X5" s="16111"/>
      <c r="Y5" s="16111"/>
      <c r="Z5" s="16111"/>
      <c r="AA5" s="16111"/>
      <c r="AB5" s="16111"/>
      <c r="AC5" s="16112"/>
      <c r="AD5" s="16110" t="e">
        <f>INDEX(PT_DIFFERENTIATION_IST_TE,MATCH(D5,PT_DIFFERENTIATION_IST_TE_ID,0))</f>
        <v>#N/A</v>
      </c>
      <c r="AE5" s="16111"/>
      <c r="AF5" s="16111"/>
      <c r="AG5" s="16111"/>
      <c r="AH5" s="16111"/>
      <c r="AI5" s="16111"/>
      <c r="AJ5" s="16111"/>
      <c r="AK5" s="16111"/>
      <c r="AL5" s="16112"/>
      <c r="AM5" s="1140" t="s">
        <v>539</v>
      </c>
      <c r="AO5" s="1487"/>
      <c r="AP5" s="1487" t="str">
        <f t="shared" si="0"/>
        <v xml:space="preserve">Источник тепловой энергии  </v>
      </c>
      <c r="AQ5" s="1487"/>
      <c r="AR5" s="1487"/>
    </row>
    <row r="6" spans="1:44" ht="47.25" hidden="1" customHeight="1">
      <c r="A6" s="1149"/>
      <c r="B6" s="1149"/>
      <c r="C6" s="1149"/>
      <c r="D6" s="1149"/>
      <c r="E6" s="16149"/>
      <c r="F6" s="16149"/>
      <c r="G6" s="16149"/>
      <c r="H6" s="16149"/>
      <c r="I6" s="15992" t="e">
        <f>S5&amp;".1"</f>
        <v>#N/A</v>
      </c>
      <c r="J6" s="1149"/>
      <c r="K6" s="1149"/>
      <c r="L6" s="1189" t="s">
        <v>540</v>
      </c>
      <c r="M6" s="1498"/>
      <c r="P6" s="16123">
        <v>1</v>
      </c>
      <c r="Q6" s="1814"/>
      <c r="R6" s="272"/>
      <c r="S6" s="1818" t="e">
        <f>$I6</f>
        <v>#N/A</v>
      </c>
      <c r="T6" s="202" t="s">
        <v>541</v>
      </c>
      <c r="U6" s="217"/>
      <c r="V6" s="16113"/>
      <c r="W6" s="16114"/>
      <c r="X6" s="16114"/>
      <c r="Y6" s="16114"/>
      <c r="Z6" s="16114"/>
      <c r="AA6" s="16114"/>
      <c r="AB6" s="16114"/>
      <c r="AC6" s="16115"/>
      <c r="AD6" s="16113"/>
      <c r="AE6" s="16114"/>
      <c r="AF6" s="16114"/>
      <c r="AG6" s="16114"/>
      <c r="AH6" s="16114"/>
      <c r="AI6" s="16114"/>
      <c r="AJ6" s="16114"/>
      <c r="AK6" s="16114"/>
      <c r="AL6" s="16115"/>
      <c r="AM6" s="1140" t="s">
        <v>542</v>
      </c>
      <c r="AO6" s="1487"/>
      <c r="AP6" s="1487" t="str">
        <f t="shared" si="0"/>
        <v>Схема подключения теплопотребляющей установки к коллектору источника тепловой энергии</v>
      </c>
      <c r="AQ6" s="1487"/>
      <c r="AR6" s="1487"/>
    </row>
    <row r="7" spans="1:44" ht="21" hidden="1" customHeight="1">
      <c r="A7" s="1149"/>
      <c r="B7" s="1149"/>
      <c r="C7" s="1149"/>
      <c r="D7" s="1149"/>
      <c r="E7" s="16149"/>
      <c r="F7" s="16149"/>
      <c r="G7" s="16149"/>
      <c r="H7" s="16149"/>
      <c r="I7" s="15963"/>
      <c r="J7" s="15992" t="e">
        <f>I6&amp;".1"</f>
        <v>#N/A</v>
      </c>
      <c r="K7" s="1149"/>
      <c r="L7" s="1189" t="s">
        <v>543</v>
      </c>
      <c r="M7" s="1498"/>
      <c r="N7" s="1494"/>
      <c r="P7" s="16123"/>
      <c r="Q7" s="16123">
        <v>1</v>
      </c>
      <c r="R7" s="273"/>
      <c r="S7" s="1818" t="e">
        <f>$J7</f>
        <v>#N/A</v>
      </c>
      <c r="T7" s="203" t="s">
        <v>544</v>
      </c>
      <c r="U7" s="217"/>
      <c r="V7" s="16113"/>
      <c r="W7" s="16114"/>
      <c r="X7" s="16114"/>
      <c r="Y7" s="16114"/>
      <c r="Z7" s="16114"/>
      <c r="AA7" s="16114"/>
      <c r="AB7" s="16114"/>
      <c r="AC7" s="16115"/>
      <c r="AD7" s="16113"/>
      <c r="AE7" s="16114"/>
      <c r="AF7" s="16114"/>
      <c r="AG7" s="16114"/>
      <c r="AH7" s="16114"/>
      <c r="AI7" s="16114"/>
      <c r="AJ7" s="16114"/>
      <c r="AK7" s="16114"/>
      <c r="AL7" s="16115"/>
      <c r="AM7" s="1140" t="s">
        <v>545</v>
      </c>
      <c r="AO7" s="1487"/>
      <c r="AP7" s="1487" t="str">
        <f t="shared" si="0"/>
        <v>Группа потребителей</v>
      </c>
      <c r="AQ7" s="1487"/>
      <c r="AR7" s="1487"/>
    </row>
    <row r="8" spans="1:44" ht="21" hidden="1" customHeight="1">
      <c r="A8" s="1149"/>
      <c r="B8" s="1149"/>
      <c r="C8" s="1149"/>
      <c r="D8" s="1149"/>
      <c r="E8" s="16149"/>
      <c r="F8" s="16149"/>
      <c r="G8" s="16149"/>
      <c r="H8" s="16149"/>
      <c r="I8" s="15963"/>
      <c r="J8" s="15963"/>
      <c r="K8" s="15992" t="e">
        <f>J7&amp;".1"</f>
        <v>#N/A</v>
      </c>
      <c r="L8" s="1189" t="s">
        <v>546</v>
      </c>
      <c r="M8" s="1498"/>
      <c r="N8" s="1494"/>
      <c r="O8" s="1494"/>
      <c r="P8" s="16123"/>
      <c r="Q8" s="16123"/>
      <c r="R8" s="273">
        <v>1</v>
      </c>
      <c r="S8" s="1818" t="e">
        <f>$K8</f>
        <v>#N/A</v>
      </c>
      <c r="T8" s="1225"/>
      <c r="U8" s="217"/>
      <c r="V8" s="649"/>
      <c r="W8" s="242"/>
      <c r="X8" s="649"/>
      <c r="Y8" s="1139"/>
      <c r="Z8" s="16127"/>
      <c r="AA8" s="15973" t="s">
        <v>66</v>
      </c>
      <c r="AB8" s="16127"/>
      <c r="AC8" s="15973" t="s">
        <v>66</v>
      </c>
      <c r="AD8" s="649"/>
      <c r="AE8" s="242"/>
      <c r="AF8" s="649"/>
      <c r="AG8" s="1139"/>
      <c r="AH8" s="16127"/>
      <c r="AI8" s="15973" t="s">
        <v>66</v>
      </c>
      <c r="AJ8" s="16127"/>
      <c r="AK8" s="15973" t="s">
        <v>66</v>
      </c>
      <c r="AL8" s="242"/>
      <c r="AM8" s="16119" t="s">
        <v>547</v>
      </c>
      <c r="AN8" s="1499" t="e">
        <f ca="1">STRCHECKDATE(V9:AL9)</f>
        <v>#NAME?</v>
      </c>
      <c r="AO8" s="1487"/>
      <c r="AP8" s="1487" t="str">
        <f t="shared" si="0"/>
        <v/>
      </c>
      <c r="AQ8" s="1487"/>
      <c r="AR8" s="1487"/>
    </row>
    <row r="9" spans="1:44" ht="0.75" hidden="1" customHeight="1">
      <c r="A9" s="1149"/>
      <c r="B9" s="1149"/>
      <c r="C9" s="1149"/>
      <c r="D9" s="1149"/>
      <c r="E9" s="16149"/>
      <c r="F9" s="16149"/>
      <c r="G9" s="16149"/>
      <c r="H9" s="16149"/>
      <c r="I9" s="15963"/>
      <c r="J9" s="15963"/>
      <c r="K9" s="15992"/>
      <c r="L9" s="1189"/>
      <c r="M9" s="1498"/>
      <c r="N9" s="1494"/>
      <c r="O9" s="1494"/>
      <c r="P9" s="16123"/>
      <c r="Q9" s="16123"/>
      <c r="R9" s="273"/>
      <c r="S9" s="1827"/>
      <c r="T9" s="217"/>
      <c r="U9" s="217"/>
      <c r="V9" s="242"/>
      <c r="W9" s="242"/>
      <c r="X9" s="242"/>
      <c r="Y9" s="245" t="str">
        <f>Z8&amp;"-"&amp;AB8</f>
        <v>-</v>
      </c>
      <c r="Z9" s="16128"/>
      <c r="AA9" s="15973"/>
      <c r="AB9" s="16128"/>
      <c r="AC9" s="15973"/>
      <c r="AD9" s="242"/>
      <c r="AE9" s="242"/>
      <c r="AF9" s="242"/>
      <c r="AG9" s="245" t="str">
        <f>AH8&amp;"-"&amp;AJ8</f>
        <v>-</v>
      </c>
      <c r="AH9" s="16128"/>
      <c r="AI9" s="15973"/>
      <c r="AJ9" s="16128"/>
      <c r="AK9" s="15973"/>
      <c r="AL9" s="242"/>
      <c r="AM9" s="16120"/>
      <c r="AO9" s="1487"/>
      <c r="AP9" s="1487" t="str">
        <f t="shared" si="0"/>
        <v/>
      </c>
      <c r="AQ9" s="1487"/>
      <c r="AR9" s="1487"/>
    </row>
    <row r="10" spans="1:44" ht="15" hidden="1" customHeight="1">
      <c r="A10" s="1149"/>
      <c r="B10" s="1149"/>
      <c r="C10" s="1149"/>
      <c r="D10" s="1149"/>
      <c r="E10" s="16149"/>
      <c r="F10" s="16149"/>
      <c r="G10" s="16149"/>
      <c r="H10" s="16149"/>
      <c r="I10" s="15963"/>
      <c r="J10" s="15992"/>
      <c r="K10" s="1149"/>
      <c r="L10" s="1189"/>
      <c r="M10" s="1498"/>
      <c r="N10" s="1494"/>
      <c r="P10" s="16123"/>
      <c r="Q10" s="16123"/>
      <c r="R10" s="272"/>
      <c r="S10" s="1160"/>
      <c r="T10" s="205" t="s">
        <v>548</v>
      </c>
      <c r="U10" s="503"/>
      <c r="V10" s="503"/>
      <c r="W10" s="503"/>
      <c r="X10" s="503"/>
      <c r="Y10" s="503"/>
      <c r="Z10" s="503"/>
      <c r="AA10" s="503"/>
      <c r="AB10" s="503"/>
      <c r="AC10" s="503"/>
      <c r="AD10" s="503"/>
      <c r="AE10" s="503"/>
      <c r="AF10" s="503"/>
      <c r="AG10" s="503"/>
      <c r="AH10" s="503"/>
      <c r="AI10" s="503"/>
      <c r="AJ10" s="503"/>
      <c r="AK10" s="503"/>
      <c r="AL10" s="241"/>
      <c r="AM10" s="16121"/>
      <c r="AO10" s="1487"/>
      <c r="AP10" s="1487" t="str">
        <f t="shared" si="0"/>
        <v>Добавить вид теплоносителя (параметры теплоносителя)</v>
      </c>
      <c r="AQ10" s="1487"/>
      <c r="AR10" s="1487"/>
    </row>
    <row r="11" spans="1:44" ht="15" hidden="1" customHeight="1">
      <c r="A11" s="1149"/>
      <c r="B11" s="1149"/>
      <c r="C11" s="1149"/>
      <c r="D11" s="1149"/>
      <c r="E11" s="16149"/>
      <c r="F11" s="16149"/>
      <c r="G11" s="16149"/>
      <c r="H11" s="16149"/>
      <c r="I11" s="15992"/>
      <c r="J11" s="1149"/>
      <c r="K11" s="1149"/>
      <c r="L11" s="1189"/>
      <c r="M11" s="1498"/>
      <c r="P11" s="16123"/>
      <c r="Q11" s="1814"/>
      <c r="R11" s="272"/>
      <c r="S11" s="1160"/>
      <c r="T11" s="204" t="s">
        <v>549</v>
      </c>
      <c r="U11" s="503"/>
      <c r="V11" s="503"/>
      <c r="W11" s="503"/>
      <c r="X11" s="503"/>
      <c r="Y11" s="503"/>
      <c r="Z11" s="503"/>
      <c r="AA11" s="503"/>
      <c r="AB11" s="503"/>
      <c r="AC11" s="281"/>
      <c r="AD11" s="503"/>
      <c r="AE11" s="503"/>
      <c r="AF11" s="503"/>
      <c r="AG11" s="503"/>
      <c r="AH11" s="503"/>
      <c r="AI11" s="503"/>
      <c r="AJ11" s="503"/>
      <c r="AK11" s="281"/>
      <c r="AL11" s="503"/>
      <c r="AM11" s="220"/>
      <c r="AO11" s="1487"/>
      <c r="AP11" s="1487" t="str">
        <f t="shared" si="0"/>
        <v>Добавить группу потребителей</v>
      </c>
      <c r="AQ11" s="1487"/>
      <c r="AR11" s="1487"/>
    </row>
    <row r="12" spans="1:44" ht="14.25" hidden="1" customHeight="1">
      <c r="A12" s="1149"/>
      <c r="B12" s="1149"/>
      <c r="C12" s="1149"/>
      <c r="D12" s="1149"/>
      <c r="E12" s="16149"/>
      <c r="F12" s="16149"/>
      <c r="G12" s="16149"/>
      <c r="H12" s="16148"/>
      <c r="I12" s="1149"/>
      <c r="J12" s="1149"/>
      <c r="K12" s="1149"/>
      <c r="L12" s="1189"/>
      <c r="M12" s="1476"/>
      <c r="N12" s="1476"/>
      <c r="O12" s="1498"/>
      <c r="P12" s="276"/>
      <c r="Q12" s="290"/>
      <c r="R12" s="271"/>
      <c r="S12" s="1160"/>
      <c r="T12" s="280" t="s">
        <v>550</v>
      </c>
      <c r="U12" s="503"/>
      <c r="V12" s="503"/>
      <c r="W12" s="503"/>
      <c r="X12" s="503"/>
      <c r="Y12" s="503"/>
      <c r="Z12" s="503"/>
      <c r="AA12" s="503"/>
      <c r="AB12" s="503"/>
      <c r="AC12" s="281"/>
      <c r="AD12" s="503"/>
      <c r="AE12" s="503"/>
      <c r="AF12" s="503"/>
      <c r="AG12" s="503"/>
      <c r="AH12" s="503"/>
      <c r="AI12" s="503"/>
      <c r="AJ12" s="503"/>
      <c r="AK12" s="281"/>
      <c r="AL12" s="503"/>
      <c r="AM12" s="220"/>
      <c r="AO12" s="1487"/>
      <c r="AP12" s="1487" t="str">
        <f t="shared" si="0"/>
        <v>Добавить схему подключения</v>
      </c>
      <c r="AQ12" s="1487"/>
      <c r="AR12" s="1487"/>
    </row>
    <row r="13" spans="1:44" s="14429" customFormat="1" ht="0.75" hidden="1" customHeight="1">
      <c r="A13" s="1251"/>
      <c r="B13" s="1251"/>
      <c r="C13" s="1251"/>
      <c r="D13" s="1251"/>
      <c r="E13" s="16149"/>
      <c r="F13" s="16149"/>
      <c r="G13" s="16148"/>
      <c r="H13" s="1251"/>
      <c r="I13" s="1251"/>
      <c r="J13" s="1251"/>
      <c r="K13" s="1251"/>
      <c r="L13" s="1254"/>
      <c r="M13" s="1255"/>
      <c r="N13" s="1255"/>
      <c r="O13" s="267"/>
      <c r="P13" s="1195"/>
      <c r="Q13" s="1196"/>
      <c r="R13" s="1195"/>
      <c r="S13" s="1197"/>
      <c r="T13" s="1198" t="s">
        <v>551</v>
      </c>
      <c r="U13" s="1199"/>
      <c r="V13" s="1199"/>
      <c r="W13" s="1199"/>
      <c r="X13" s="1199"/>
      <c r="Y13" s="1199"/>
      <c r="Z13" s="1199"/>
      <c r="AA13" s="1199"/>
      <c r="AB13" s="1199"/>
      <c r="AC13" s="1199"/>
      <c r="AD13" s="1199"/>
      <c r="AE13" s="1199"/>
      <c r="AF13" s="1199"/>
      <c r="AG13" s="1199"/>
      <c r="AH13" s="1199"/>
      <c r="AI13" s="1199"/>
      <c r="AJ13" s="1199"/>
      <c r="AK13" s="1199"/>
      <c r="AL13" s="1199"/>
      <c r="AM13" s="1199"/>
      <c r="AO13" s="1133"/>
      <c r="AP13" s="1133" t="str">
        <f t="shared" si="0"/>
        <v>Добавить источник для дифференциации</v>
      </c>
      <c r="AQ13" s="1133"/>
      <c r="AR13" s="1133"/>
    </row>
    <row r="14" spans="1:44" s="14429" customFormat="1" ht="0.75" hidden="1" customHeight="1">
      <c r="A14" s="1251"/>
      <c r="B14" s="1251"/>
      <c r="C14" s="1251"/>
      <c r="D14" s="1251"/>
      <c r="E14" s="16149"/>
      <c r="F14" s="16148"/>
      <c r="G14" s="1251"/>
      <c r="H14" s="1251"/>
      <c r="I14" s="1251"/>
      <c r="J14" s="1251"/>
      <c r="K14" s="1251"/>
      <c r="L14" s="1254"/>
      <c r="M14" s="1256"/>
      <c r="N14" s="1256"/>
      <c r="O14" s="267"/>
      <c r="P14" s="1195"/>
      <c r="Q14" s="1196"/>
      <c r="R14" s="1195"/>
      <c r="S14" s="1201"/>
      <c r="T14" s="1202" t="s">
        <v>290</v>
      </c>
      <c r="U14" s="1203"/>
      <c r="V14" s="1203"/>
      <c r="W14" s="1203"/>
      <c r="X14" s="1203"/>
      <c r="Y14" s="1203"/>
      <c r="Z14" s="1203"/>
      <c r="AA14" s="1203"/>
      <c r="AB14" s="1203"/>
      <c r="AC14" s="1203"/>
      <c r="AD14" s="1203"/>
      <c r="AE14" s="1203"/>
      <c r="AF14" s="1203"/>
      <c r="AG14" s="1203"/>
      <c r="AH14" s="1203"/>
      <c r="AI14" s="1203"/>
      <c r="AJ14" s="1203"/>
      <c r="AK14" s="1203"/>
      <c r="AL14" s="1203"/>
      <c r="AM14" s="1203"/>
      <c r="AO14" s="1133"/>
      <c r="AP14" s="1133" t="str">
        <f t="shared" si="0"/>
        <v>Добавить централизованную систему для дифференциации</v>
      </c>
      <c r="AQ14" s="1133"/>
      <c r="AR14" s="1133"/>
    </row>
    <row r="15" spans="1:44" s="14429" customFormat="1" ht="0.75" hidden="1" customHeight="1">
      <c r="A15" s="1251"/>
      <c r="B15" s="1251"/>
      <c r="C15" s="1251"/>
      <c r="D15" s="1251"/>
      <c r="E15" s="16148"/>
      <c r="F15" s="1251"/>
      <c r="G15" s="1251"/>
      <c r="H15" s="1251"/>
      <c r="I15" s="1251"/>
      <c r="J15" s="1251"/>
      <c r="K15" s="1251"/>
      <c r="L15" s="1254"/>
      <c r="M15" s="1256"/>
      <c r="N15" s="1256"/>
      <c r="O15" s="267"/>
      <c r="P15" s="1195"/>
      <c r="Q15" s="1196"/>
      <c r="R15" s="1195"/>
      <c r="S15" s="1201"/>
      <c r="T15" s="1204" t="s">
        <v>326</v>
      </c>
      <c r="U15" s="1203"/>
      <c r="V15" s="1203"/>
      <c r="W15" s="1203"/>
      <c r="X15" s="1203"/>
      <c r="Y15" s="1203"/>
      <c r="Z15" s="1203"/>
      <c r="AA15" s="1203"/>
      <c r="AB15" s="1203"/>
      <c r="AC15" s="1203"/>
      <c r="AD15" s="1203"/>
      <c r="AE15" s="1203"/>
      <c r="AF15" s="1203"/>
      <c r="AG15" s="1203"/>
      <c r="AH15" s="1203"/>
      <c r="AI15" s="1203"/>
      <c r="AJ15" s="1203"/>
      <c r="AK15" s="1203"/>
      <c r="AL15" s="1203"/>
      <c r="AM15" s="1203"/>
      <c r="AO15" s="1133"/>
      <c r="AP15" s="1133" t="str">
        <f t="shared" si="0"/>
        <v>Добавить территорию для дифференциации</v>
      </c>
      <c r="AQ15" s="1133"/>
      <c r="AR15" s="1133"/>
    </row>
    <row r="16" spans="1:44" ht="14.25" hidden="1" customHeight="1"/>
    <row r="17" spans="1:44" ht="14.25" hidden="1" customHeight="1">
      <c r="AD17" s="1237"/>
      <c r="AE17" s="1237"/>
      <c r="AF17" s="1237"/>
      <c r="AG17" s="1238"/>
      <c r="AH17" s="16129"/>
      <c r="AI17" s="16130" t="s">
        <v>66</v>
      </c>
      <c r="AJ17" s="16129"/>
      <c r="AK17" s="16130" t="s">
        <v>66</v>
      </c>
    </row>
    <row r="18" spans="1:44" ht="14.25" hidden="1" customHeight="1">
      <c r="AD18" s="1237"/>
      <c r="AE18" s="1237"/>
      <c r="AF18" s="1237"/>
      <c r="AG18" s="245" t="str">
        <f>AH17&amp;"-"&amp;AJ17</f>
        <v>-</v>
      </c>
      <c r="AH18" s="16130"/>
      <c r="AI18" s="16130"/>
      <c r="AJ18" s="16130"/>
      <c r="AK18" s="16130"/>
    </row>
    <row r="19" spans="1:44" ht="14.25" hidden="1" customHeight="1"/>
    <row r="20" spans="1:44" s="14430" customFormat="1" ht="14.25" hidden="1" customHeight="1">
      <c r="A20" s="1494"/>
      <c r="B20" s="1494"/>
      <c r="C20" s="1494"/>
      <c r="D20" s="1494"/>
      <c r="E20" s="1494"/>
      <c r="F20" s="1494"/>
      <c r="G20" s="1494"/>
      <c r="H20" s="1494"/>
      <c r="I20" s="1494"/>
      <c r="J20" s="1494"/>
      <c r="K20" s="1494"/>
      <c r="L20" s="1799"/>
      <c r="M20" s="1825"/>
      <c r="N20" s="1825"/>
      <c r="O20" s="1223" t="s">
        <v>552</v>
      </c>
      <c r="P20" s="1239"/>
      <c r="Q20" s="1248"/>
      <c r="R20" s="1248"/>
      <c r="S20" s="629"/>
      <c r="Z20" s="1244"/>
      <c r="AB20" s="1244"/>
      <c r="AH20" s="1244"/>
      <c r="AJ20" s="1244"/>
      <c r="AN20" s="1499"/>
      <c r="AO20" s="1499"/>
      <c r="AP20" s="1499"/>
      <c r="AQ20" s="1499"/>
      <c r="AR20" s="1499"/>
    </row>
    <row r="21" spans="1:44" s="14430" customFormat="1" ht="14.25" hidden="1" customHeight="1">
      <c r="A21" s="1494"/>
      <c r="B21" s="1494"/>
      <c r="C21" s="1494"/>
      <c r="D21" s="1494"/>
      <c r="E21" s="1494"/>
      <c r="F21" s="1494"/>
      <c r="G21" s="1494"/>
      <c r="H21" s="1494"/>
      <c r="I21" s="1494"/>
      <c r="J21" s="1494"/>
      <c r="K21" s="1494"/>
      <c r="L21" s="1799"/>
      <c r="M21" s="1825"/>
      <c r="N21" s="1825"/>
      <c r="O21" s="1825"/>
      <c r="P21" s="1239"/>
      <c r="Q21" s="1248"/>
      <c r="R21" s="1248"/>
      <c r="S21" s="629"/>
      <c r="AN21" s="1499"/>
      <c r="AO21" s="1499"/>
      <c r="AP21" s="1499"/>
      <c r="AQ21" s="1499"/>
      <c r="AR21" s="1499"/>
    </row>
    <row r="22" spans="1:44" s="14430" customFormat="1" ht="14.25" hidden="1" customHeight="1">
      <c r="A22" s="1494"/>
      <c r="B22" s="1494"/>
      <c r="C22" s="1494"/>
      <c r="D22" s="1494"/>
      <c r="E22" s="1494"/>
      <c r="F22" s="1494"/>
      <c r="G22" s="1494"/>
      <c r="H22" s="1494"/>
      <c r="I22" s="1494"/>
      <c r="J22" s="1494"/>
      <c r="K22" s="1494"/>
      <c r="L22" s="1799"/>
      <c r="M22" s="1825"/>
      <c r="N22" s="1825"/>
      <c r="O22" s="1189" t="s">
        <v>553</v>
      </c>
      <c r="P22" s="1239"/>
      <c r="Q22" s="1248"/>
      <c r="R22" s="1248"/>
      <c r="S22" s="629"/>
      <c r="T22" s="1243" t="s">
        <v>554</v>
      </c>
      <c r="AA22" s="499" t="s">
        <v>555</v>
      </c>
      <c r="AC22" s="499" t="s">
        <v>556</v>
      </c>
      <c r="AD22" s="1243" t="s">
        <v>554</v>
      </c>
      <c r="AI22" s="499" t="s">
        <v>557</v>
      </c>
      <c r="AK22" s="499" t="s">
        <v>556</v>
      </c>
      <c r="AN22" s="1499"/>
      <c r="AO22" s="1499"/>
      <c r="AP22" s="1499"/>
      <c r="AQ22" s="1499"/>
      <c r="AR22" s="1499"/>
    </row>
    <row r="23" spans="1:44" ht="14.25" hidden="1" customHeight="1">
      <c r="O23" s="1189"/>
    </row>
    <row r="24" spans="1:44" ht="14.25" hidden="1" customHeight="1">
      <c r="O24" s="1189"/>
    </row>
    <row r="25" spans="1:44" ht="14.25" customHeight="1">
      <c r="Q25" s="291"/>
      <c r="R25" s="291"/>
      <c r="S25" s="1157"/>
      <c r="T25" s="366"/>
      <c r="U25" s="366"/>
      <c r="V25" s="1498"/>
      <c r="W25" s="1498"/>
      <c r="X25" s="1498"/>
      <c r="Y25" s="1498"/>
      <c r="Z25" s="1498"/>
      <c r="AA25" s="1498"/>
      <c r="AB25" s="1498"/>
      <c r="AC25" s="1498"/>
      <c r="AD25" s="1498"/>
      <c r="AE25" s="1498"/>
      <c r="AF25" s="1498"/>
      <c r="AG25" s="1498"/>
      <c r="AH25" s="1498"/>
      <c r="AI25" s="1498"/>
      <c r="AJ25" s="1498"/>
      <c r="AK25" s="1498"/>
    </row>
    <row r="26" spans="1:44" ht="14.25" customHeight="1">
      <c r="Q26" s="291"/>
      <c r="R26" s="291"/>
      <c r="S26" s="161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6108"/>
      <c r="U26" s="16108"/>
      <c r="V26" s="16108"/>
      <c r="W26" s="16108"/>
      <c r="X26" s="16108"/>
      <c r="Y26" s="16108"/>
      <c r="Z26" s="16108"/>
      <c r="AA26" s="16108"/>
      <c r="AB26" s="16108"/>
      <c r="AC26" s="16108"/>
      <c r="AD26" s="16108"/>
      <c r="AE26" s="16108"/>
      <c r="AF26" s="16108"/>
      <c r="AG26" s="16108"/>
      <c r="AH26" s="16108"/>
      <c r="AI26" s="16108"/>
      <c r="AJ26" s="16108"/>
      <c r="AK26" s="1125"/>
    </row>
    <row r="27" spans="1:44" ht="14.25" customHeight="1">
      <c r="Q27" s="291"/>
      <c r="R27" s="291"/>
      <c r="S27" s="16056" t="str">
        <f>IF(org=0,"Не определено",org)</f>
        <v>АО "Мурманэнергосбыт"</v>
      </c>
      <c r="T27" s="16056"/>
      <c r="U27" s="16056"/>
      <c r="V27" s="16056"/>
      <c r="W27" s="16056"/>
      <c r="X27" s="16056"/>
      <c r="Y27" s="16056"/>
      <c r="Z27" s="16056"/>
      <c r="AA27" s="16056"/>
      <c r="AB27" s="16056"/>
      <c r="AC27" s="16056"/>
      <c r="AD27" s="16056"/>
      <c r="AE27" s="16056"/>
      <c r="AF27" s="16056"/>
      <c r="AG27" s="16056"/>
      <c r="AH27" s="16056"/>
      <c r="AI27" s="16056"/>
      <c r="AJ27" s="16056"/>
      <c r="AK27" s="1125"/>
    </row>
    <row r="28" spans="1:44" ht="14.25" hidden="1" customHeight="1">
      <c r="Q28" s="291"/>
      <c r="R28" s="291"/>
      <c r="S28" s="1157"/>
      <c r="T28" s="366"/>
      <c r="U28" s="366"/>
      <c r="V28" s="239"/>
      <c r="W28" s="239"/>
      <c r="X28" s="239"/>
      <c r="Y28" s="239"/>
      <c r="Z28" s="239"/>
      <c r="AA28" s="239"/>
      <c r="AB28" s="239"/>
      <c r="AC28" s="239"/>
      <c r="AD28" s="239"/>
      <c r="AE28" s="239"/>
      <c r="AF28" s="239"/>
      <c r="AG28" s="239"/>
      <c r="AH28" s="239"/>
      <c r="AI28" s="239"/>
      <c r="AJ28" s="239"/>
      <c r="AK28" s="239"/>
      <c r="AL28" s="1498"/>
    </row>
    <row r="29" spans="1:44" s="14420" customFormat="1" ht="25.5" hidden="1" customHeight="1">
      <c r="A29" s="1130"/>
      <c r="B29" s="1130"/>
      <c r="C29" s="1130"/>
      <c r="D29" s="1130"/>
      <c r="E29" s="1130"/>
      <c r="F29" s="1130"/>
      <c r="G29" s="1130"/>
      <c r="H29" s="1130"/>
      <c r="I29" s="1130"/>
      <c r="J29" s="1130"/>
      <c r="K29" s="1130"/>
      <c r="L29" s="1257"/>
      <c r="M29" s="1130"/>
      <c r="N29" s="1130"/>
      <c r="O29" s="1130"/>
      <c r="S29" s="16116" t="s">
        <v>38</v>
      </c>
      <c r="T29" s="16116"/>
      <c r="U29" s="1249"/>
      <c r="V29" s="16117" t="str">
        <f>IF(TITLE_NAME_OR_PR_CHANGE="",IF(TITLE_NAME_OR_PR="","",TITLE_NAME_OR_PR),TITLE_NAME_OR_PR_CHANGE)</f>
        <v>Комитет по тарифному регулированию Мурманской области</v>
      </c>
      <c r="W29" s="16117"/>
      <c r="X29" s="16117"/>
      <c r="Y29" s="16117"/>
      <c r="Z29" s="16117"/>
      <c r="AA29" s="16117"/>
      <c r="AB29" s="16117"/>
      <c r="AC29" s="1498"/>
      <c r="AD29" s="16117" t="str">
        <f>IF(TITLE_NAME_OR_PR_CHANGE="",IF(TITLE_NAME_OR_PR="","",TITLE_NAME_OR_PR),TITLE_NAME_OR_PR_CHANGE)</f>
        <v>Комитет по тарифному регулированию Мурманской области</v>
      </c>
      <c r="AE29" s="16117"/>
      <c r="AF29" s="16117"/>
      <c r="AG29" s="16117"/>
      <c r="AH29" s="16117"/>
      <c r="AI29" s="16117"/>
      <c r="AJ29" s="16117"/>
      <c r="AK29" s="1498"/>
      <c r="AL29" s="1498"/>
      <c r="AM29" s="198"/>
      <c r="AN29" s="283"/>
      <c r="AO29" s="283"/>
      <c r="AP29" s="283"/>
      <c r="AQ29" s="283"/>
      <c r="AR29" s="283"/>
    </row>
    <row r="30" spans="1:44" s="14420" customFormat="1" ht="18.75" hidden="1" customHeight="1">
      <c r="A30" s="1130"/>
      <c r="B30" s="1130"/>
      <c r="C30" s="1130"/>
      <c r="D30" s="1130"/>
      <c r="E30" s="1130"/>
      <c r="F30" s="1130"/>
      <c r="G30" s="1130"/>
      <c r="H30" s="1130"/>
      <c r="I30" s="1130"/>
      <c r="J30" s="1130"/>
      <c r="K30" s="1130"/>
      <c r="L30" s="1257"/>
      <c r="M30" s="1130"/>
      <c r="N30" s="1130"/>
      <c r="O30" s="1130"/>
      <c r="S30" s="16116" t="s">
        <v>558</v>
      </c>
      <c r="T30" s="16116"/>
      <c r="U30" s="1249"/>
      <c r="V30" s="16126">
        <f>IF(TITLE_DATE_PR_CHANGE="",IF(TITLE_DATE_PR="","",TITLE_DATE_PR),TITLE_DATE_PR_CHANGE)</f>
        <v>45379</v>
      </c>
      <c r="W30" s="16126"/>
      <c r="X30" s="16126"/>
      <c r="Y30" s="16126"/>
      <c r="Z30" s="16126"/>
      <c r="AA30" s="16126"/>
      <c r="AB30" s="16126"/>
      <c r="AC30" s="1498"/>
      <c r="AD30" s="16126">
        <f>IF(TITLE_DATE_PR_CHANGE="",IF(TITLE_DATE_PR="","",TITLE_DATE_PR),TITLE_DATE_PR_CHANGE)</f>
        <v>45379</v>
      </c>
      <c r="AE30" s="16126"/>
      <c r="AF30" s="16126"/>
      <c r="AG30" s="16126"/>
      <c r="AH30" s="16126"/>
      <c r="AI30" s="16126"/>
      <c r="AJ30" s="16126"/>
      <c r="AK30" s="1498"/>
      <c r="AL30" s="1498"/>
      <c r="AM30" s="198"/>
      <c r="AN30" s="283"/>
      <c r="AO30" s="283"/>
      <c r="AP30" s="283"/>
      <c r="AQ30" s="283"/>
      <c r="AR30" s="283"/>
    </row>
    <row r="31" spans="1:44" s="14420" customFormat="1" ht="18.75" hidden="1" customHeight="1">
      <c r="A31" s="1130"/>
      <c r="B31" s="1130"/>
      <c r="C31" s="1130"/>
      <c r="D31" s="1130"/>
      <c r="E31" s="1130"/>
      <c r="F31" s="1130"/>
      <c r="G31" s="1130"/>
      <c r="H31" s="1130"/>
      <c r="I31" s="1130"/>
      <c r="J31" s="1130"/>
      <c r="K31" s="1130"/>
      <c r="L31" s="1257"/>
      <c r="M31" s="1130"/>
      <c r="N31" s="1130"/>
      <c r="O31" s="1130"/>
      <c r="S31" s="16116" t="s">
        <v>559</v>
      </c>
      <c r="T31" s="16116"/>
      <c r="U31" s="1249"/>
      <c r="V31" s="16117" t="str">
        <f>IF(TITLE_NUMBER_PR_CHANGE="",IF(TITLE_NUMBER_PR="","",TITLE_NUMBER_PR),TITLE_NUMBER_PR_CHANGE)</f>
        <v>8/6</v>
      </c>
      <c r="W31" s="16117"/>
      <c r="X31" s="16117"/>
      <c r="Y31" s="16117"/>
      <c r="Z31" s="16117"/>
      <c r="AA31" s="16117"/>
      <c r="AB31" s="16117"/>
      <c r="AC31" s="1498"/>
      <c r="AD31" s="16117" t="str">
        <f>IF(TITLE_NUMBER_PR_CHANGE="",IF(TITLE_NUMBER_PR="","",TITLE_NUMBER_PR),TITLE_NUMBER_PR_CHANGE)</f>
        <v>8/6</v>
      </c>
      <c r="AE31" s="16117"/>
      <c r="AF31" s="16117"/>
      <c r="AG31" s="16117"/>
      <c r="AH31" s="16117"/>
      <c r="AI31" s="16117"/>
      <c r="AJ31" s="16117"/>
      <c r="AK31" s="1498"/>
      <c r="AL31" s="1498"/>
      <c r="AM31" s="198"/>
      <c r="AN31" s="283"/>
      <c r="AO31" s="283"/>
      <c r="AP31" s="283"/>
      <c r="AQ31" s="283"/>
      <c r="AR31" s="283"/>
    </row>
    <row r="32" spans="1:44" s="14420" customFormat="1" ht="18.75" hidden="1" customHeight="1">
      <c r="A32" s="1130"/>
      <c r="B32" s="1130"/>
      <c r="C32" s="1130"/>
      <c r="D32" s="1130"/>
      <c r="E32" s="1130"/>
      <c r="F32" s="1130"/>
      <c r="G32" s="1130"/>
      <c r="H32" s="1130"/>
      <c r="I32" s="1130"/>
      <c r="J32" s="1130"/>
      <c r="K32" s="1130"/>
      <c r="L32" s="1257"/>
      <c r="M32" s="1130"/>
      <c r="N32" s="1130"/>
      <c r="O32" s="1130"/>
      <c r="S32" s="16116" t="s">
        <v>40</v>
      </c>
      <c r="T32" s="16116"/>
      <c r="U32" s="1249"/>
      <c r="V32" s="16117" t="str">
        <f>IF(TITLE_IST_PUB_CHANGE="",IF(TITLE_IST_PUB="","",TITLE_IST_PUB),TITLE_IST_PUB_CHANGE)</f>
        <v>https://npa.gov-murman.ru/bitrix/components/b1team/govmurman.element.file/download.php?ID=518761&amp;FID=765125</v>
      </c>
      <c r="W32" s="16117"/>
      <c r="X32" s="16117"/>
      <c r="Y32" s="16117"/>
      <c r="Z32" s="16117"/>
      <c r="AA32" s="16117"/>
      <c r="AB32" s="16117"/>
      <c r="AC32" s="1498"/>
      <c r="AD32" s="16117" t="str">
        <f>IF(TITLE_IST_PUB_CHANGE="",IF(TITLE_IST_PUB="","",TITLE_IST_PUB),TITLE_IST_PUB_CHANGE)</f>
        <v>https://npa.gov-murman.ru/bitrix/components/b1team/govmurman.element.file/download.php?ID=518761&amp;FID=765125</v>
      </c>
      <c r="AE32" s="16117"/>
      <c r="AF32" s="16117"/>
      <c r="AG32" s="16117"/>
      <c r="AH32" s="16117"/>
      <c r="AI32" s="16117"/>
      <c r="AJ32" s="16117"/>
      <c r="AK32" s="1498"/>
      <c r="AL32" s="1498"/>
      <c r="AM32" s="198"/>
      <c r="AN32" s="283"/>
      <c r="AO32" s="283"/>
      <c r="AP32" s="283"/>
      <c r="AQ32" s="283"/>
      <c r="AR32" s="283"/>
    </row>
    <row r="33" spans="1:44" ht="14.25" hidden="1" customHeight="1">
      <c r="Q33" s="291"/>
      <c r="R33" s="291"/>
      <c r="S33" s="1157"/>
      <c r="T33" s="366"/>
      <c r="U33" s="366"/>
      <c r="V33" s="239"/>
      <c r="W33" s="239"/>
      <c r="X33" s="239"/>
      <c r="Y33" s="239"/>
      <c r="Z33" s="239"/>
      <c r="AA33" s="239"/>
      <c r="AB33" s="239"/>
      <c r="AC33" s="239"/>
      <c r="AD33" s="239"/>
      <c r="AE33" s="239"/>
      <c r="AF33" s="239"/>
      <c r="AG33" s="239"/>
      <c r="AH33" s="239"/>
      <c r="AI33" s="239"/>
      <c r="AJ33" s="239"/>
      <c r="AK33" s="239"/>
      <c r="AL33" s="1498"/>
    </row>
    <row r="34" spans="1:44" s="14420" customFormat="1" ht="18.75" hidden="1" customHeight="1">
      <c r="A34" s="1130"/>
      <c r="B34" s="1130"/>
      <c r="C34" s="1130"/>
      <c r="D34" s="1130"/>
      <c r="E34" s="1130"/>
      <c r="F34" s="1130"/>
      <c r="G34" s="1130"/>
      <c r="H34" s="1130"/>
      <c r="I34" s="1130"/>
      <c r="J34" s="1130"/>
      <c r="K34" s="1130"/>
      <c r="L34" s="1257"/>
      <c r="M34" s="1130"/>
      <c r="N34" s="1130"/>
      <c r="O34" s="1130"/>
      <c r="S34" s="16116" t="s">
        <v>560</v>
      </c>
      <c r="T34" s="16116"/>
      <c r="U34" s="1249"/>
      <c r="V34" s="16126">
        <f>IF(TITLE_DATE_PR_CHANGE="",IF(TITLE_DATE_PR="","",TITLE_DATE_PR),TITLE_DATE_PR_CHANGE)</f>
        <v>45379</v>
      </c>
      <c r="W34" s="16126"/>
      <c r="X34" s="16126"/>
      <c r="Y34" s="16126"/>
      <c r="Z34" s="16126"/>
      <c r="AA34" s="16126"/>
      <c r="AB34" s="16126"/>
      <c r="AC34" s="1498"/>
      <c r="AD34" s="16126">
        <f>IF(TITLE_DATE_PR_CHANGE="",IF(TITLE_DATE_PR="","",TITLE_DATE_PR),TITLE_DATE_PR_CHANGE)</f>
        <v>45379</v>
      </c>
      <c r="AE34" s="16126"/>
      <c r="AF34" s="16126"/>
      <c r="AG34" s="16126"/>
      <c r="AH34" s="16126"/>
      <c r="AI34" s="16126"/>
      <c r="AJ34" s="16126"/>
      <c r="AK34" s="1498"/>
      <c r="AL34" s="1498"/>
      <c r="AM34" s="198"/>
      <c r="AN34" s="283"/>
      <c r="AO34" s="283"/>
      <c r="AP34" s="283"/>
      <c r="AQ34" s="283"/>
      <c r="AR34" s="283"/>
    </row>
    <row r="35" spans="1:44" s="14420" customFormat="1" ht="18.75" hidden="1" customHeight="1">
      <c r="A35" s="1130"/>
      <c r="B35" s="1130"/>
      <c r="C35" s="1130"/>
      <c r="D35" s="1130"/>
      <c r="E35" s="1130"/>
      <c r="F35" s="1130"/>
      <c r="G35" s="1130"/>
      <c r="H35" s="1130"/>
      <c r="I35" s="1130"/>
      <c r="J35" s="1130"/>
      <c r="K35" s="1130"/>
      <c r="L35" s="1257"/>
      <c r="M35" s="1130"/>
      <c r="N35" s="1130"/>
      <c r="O35" s="1130"/>
      <c r="S35" s="16116" t="s">
        <v>561</v>
      </c>
      <c r="T35" s="16116"/>
      <c r="U35" s="1249"/>
      <c r="V35" s="16117" t="str">
        <f>IF(TITLE_NUMBER_PR_CHANGE="",IF(TITLE_NUMBER_PR="","",TITLE_NUMBER_PR),TITLE_NUMBER_PR_CHANGE)</f>
        <v>8/6</v>
      </c>
      <c r="W35" s="16117"/>
      <c r="X35" s="16117"/>
      <c r="Y35" s="16117"/>
      <c r="Z35" s="16117"/>
      <c r="AA35" s="16117"/>
      <c r="AB35" s="16117"/>
      <c r="AC35" s="1498"/>
      <c r="AD35" s="16117" t="str">
        <f>IF(TITLE_NUMBER_PR_CHANGE="",IF(TITLE_NUMBER_PR="","",TITLE_NUMBER_PR),TITLE_NUMBER_PR_CHANGE)</f>
        <v>8/6</v>
      </c>
      <c r="AE35" s="16117"/>
      <c r="AF35" s="16117"/>
      <c r="AG35" s="16117"/>
      <c r="AH35" s="16117"/>
      <c r="AI35" s="16117"/>
      <c r="AJ35" s="16117"/>
      <c r="AK35" s="1498"/>
      <c r="AL35" s="1498"/>
      <c r="AM35" s="198"/>
      <c r="AN35" s="283"/>
      <c r="AO35" s="283"/>
      <c r="AP35" s="283"/>
      <c r="AQ35" s="283"/>
      <c r="AR35" s="283"/>
    </row>
    <row r="36" spans="1:44" s="14420" customFormat="1" ht="0" hidden="1" customHeight="1">
      <c r="A36" s="1130"/>
      <c r="B36" s="1130"/>
      <c r="C36" s="1130"/>
      <c r="D36" s="1130"/>
      <c r="E36" s="1130"/>
      <c r="F36" s="1130"/>
      <c r="G36" s="1130"/>
      <c r="H36" s="1130"/>
      <c r="I36" s="1130"/>
      <c r="J36" s="1130"/>
      <c r="K36" s="1130"/>
      <c r="L36" s="1257"/>
      <c r="M36" s="1130"/>
      <c r="N36" s="1130"/>
      <c r="O36" s="1130"/>
      <c r="S36" s="1498"/>
      <c r="T36" s="1498"/>
      <c r="U36" s="1830"/>
      <c r="V36" s="1498"/>
      <c r="W36" s="1498"/>
      <c r="X36" s="1498"/>
      <c r="Y36" s="1498"/>
      <c r="Z36" s="1498"/>
      <c r="AA36" s="1498"/>
      <c r="AB36" s="1498"/>
      <c r="AC36" s="1505" t="s">
        <v>562</v>
      </c>
      <c r="AD36" s="1498"/>
      <c r="AE36" s="1498"/>
      <c r="AF36" s="1498"/>
      <c r="AG36" s="1498"/>
      <c r="AH36" s="1498"/>
      <c r="AI36" s="1498"/>
      <c r="AJ36" s="1498"/>
      <c r="AK36" s="1505" t="s">
        <v>562</v>
      </c>
      <c r="AN36" s="283"/>
      <c r="AO36" s="283"/>
      <c r="AP36" s="283"/>
      <c r="AQ36" s="283"/>
      <c r="AR36" s="283"/>
    </row>
    <row r="37" spans="1:44" ht="14.25" customHeight="1">
      <c r="Q37" s="291"/>
      <c r="R37" s="291"/>
      <c r="S37" s="1157"/>
      <c r="T37" s="366"/>
      <c r="U37" s="1126"/>
      <c r="V37" s="16118"/>
      <c r="W37" s="16118"/>
      <c r="X37" s="16118"/>
      <c r="Y37" s="16118"/>
      <c r="Z37" s="16118"/>
      <c r="AA37" s="16118"/>
      <c r="AB37" s="16118"/>
      <c r="AC37" s="16118"/>
      <c r="AD37" s="16118"/>
      <c r="AE37" s="16118"/>
      <c r="AF37" s="16118"/>
      <c r="AG37" s="16118"/>
      <c r="AH37" s="16118"/>
      <c r="AI37" s="16118"/>
      <c r="AJ37" s="16118"/>
      <c r="AK37" s="16118"/>
    </row>
    <row r="38" spans="1:44" ht="14.25" customHeight="1">
      <c r="Q38" s="291"/>
      <c r="R38" s="291"/>
      <c r="S38" s="15992" t="s">
        <v>437</v>
      </c>
      <c r="T38" s="15992"/>
      <c r="U38" s="15992"/>
      <c r="V38" s="15992"/>
      <c r="W38" s="15992"/>
      <c r="X38" s="15992"/>
      <c r="Y38" s="15992"/>
      <c r="Z38" s="15992"/>
      <c r="AA38" s="15992"/>
      <c r="AB38" s="15992"/>
      <c r="AC38" s="15992"/>
      <c r="AD38" s="15992"/>
      <c r="AE38" s="15992"/>
      <c r="AF38" s="15992"/>
      <c r="AG38" s="15992"/>
      <c r="AH38" s="15992"/>
      <c r="AI38" s="15992"/>
      <c r="AJ38" s="15992"/>
      <c r="AK38" s="15992"/>
      <c r="AL38" s="15992"/>
      <c r="AM38" s="15992" t="s">
        <v>438</v>
      </c>
    </row>
    <row r="39" spans="1:44" ht="14.25" customHeight="1">
      <c r="Q39" s="291"/>
      <c r="R39" s="291"/>
      <c r="S39" s="16132" t="s">
        <v>87</v>
      </c>
      <c r="T39" s="16084" t="s">
        <v>563</v>
      </c>
      <c r="U39" s="254"/>
      <c r="V39" s="16133" t="s">
        <v>564</v>
      </c>
      <c r="W39" s="16134"/>
      <c r="X39" s="16134"/>
      <c r="Y39" s="16134"/>
      <c r="Z39" s="16134"/>
      <c r="AA39" s="16134"/>
      <c r="AB39" s="16135"/>
      <c r="AC39" s="16136" t="s">
        <v>565</v>
      </c>
      <c r="AD39" s="16133" t="s">
        <v>564</v>
      </c>
      <c r="AE39" s="16134"/>
      <c r="AF39" s="16134"/>
      <c r="AG39" s="16134"/>
      <c r="AH39" s="16134"/>
      <c r="AI39" s="16134"/>
      <c r="AJ39" s="16135"/>
      <c r="AK39" s="16136" t="s">
        <v>566</v>
      </c>
      <c r="AL39" s="16139" t="s">
        <v>567</v>
      </c>
      <c r="AM39" s="15992"/>
    </row>
    <row r="40" spans="1:44" ht="33.75" customHeight="1">
      <c r="Q40" s="291"/>
      <c r="R40" s="291"/>
      <c r="S40" s="16132"/>
      <c r="T40" s="16084"/>
      <c r="U40" s="919"/>
      <c r="V40" s="16055" t="s">
        <v>568</v>
      </c>
      <c r="W40" s="16142" t="s">
        <v>569</v>
      </c>
      <c r="X40" s="15963" t="s">
        <v>570</v>
      </c>
      <c r="Y40" s="15962"/>
      <c r="Z40" s="15963" t="s">
        <v>583</v>
      </c>
      <c r="AA40" s="15968"/>
      <c r="AB40" s="15962"/>
      <c r="AC40" s="16137"/>
      <c r="AD40" s="16055" t="s">
        <v>568</v>
      </c>
      <c r="AE40" s="16142" t="s">
        <v>569</v>
      </c>
      <c r="AF40" s="15963" t="s">
        <v>570</v>
      </c>
      <c r="AG40" s="15962"/>
      <c r="AH40" s="15963" t="s">
        <v>571</v>
      </c>
      <c r="AI40" s="15968"/>
      <c r="AJ40" s="15962"/>
      <c r="AK40" s="16137"/>
      <c r="AL40" s="16140"/>
      <c r="AM40" s="15992"/>
    </row>
    <row r="41" spans="1:44" ht="33.75" customHeight="1">
      <c r="A41" s="1148"/>
      <c r="B41" s="1148" t="s">
        <v>170</v>
      </c>
      <c r="C41" s="1148" t="s">
        <v>171</v>
      </c>
      <c r="D41" s="1148" t="s">
        <v>172</v>
      </c>
      <c r="E41" s="1189" t="s">
        <v>572</v>
      </c>
      <c r="F41" s="1189" t="s">
        <v>573</v>
      </c>
      <c r="G41" s="1189" t="s">
        <v>574</v>
      </c>
      <c r="H41" s="1189" t="s">
        <v>575</v>
      </c>
      <c r="I41" s="1189" t="s">
        <v>576</v>
      </c>
      <c r="J41" s="1189" t="s">
        <v>577</v>
      </c>
      <c r="K41" s="1189" t="s">
        <v>578</v>
      </c>
      <c r="L41" s="1189" t="s">
        <v>553</v>
      </c>
      <c r="Q41" s="291"/>
      <c r="R41" s="291"/>
      <c r="S41" s="16132"/>
      <c r="T41" s="16084"/>
      <c r="U41" s="219"/>
      <c r="V41" s="16103"/>
      <c r="W41" s="16143"/>
      <c r="X41" s="1798" t="s">
        <v>579</v>
      </c>
      <c r="Y41" s="1798" t="s">
        <v>580</v>
      </c>
      <c r="Z41" s="1798" t="s">
        <v>581</v>
      </c>
      <c r="AA41" s="16092" t="s">
        <v>582</v>
      </c>
      <c r="AB41" s="16094"/>
      <c r="AC41" s="16138"/>
      <c r="AD41" s="16103"/>
      <c r="AE41" s="16143"/>
      <c r="AF41" s="1798" t="s">
        <v>579</v>
      </c>
      <c r="AG41" s="1798" t="s">
        <v>580</v>
      </c>
      <c r="AH41" s="1798" t="s">
        <v>581</v>
      </c>
      <c r="AI41" s="16092" t="s">
        <v>582</v>
      </c>
      <c r="AJ41" s="16094"/>
      <c r="AK41" s="16138"/>
      <c r="AL41" s="16141"/>
      <c r="AM41" s="15992"/>
    </row>
    <row r="42" spans="1:44" s="14431" customFormat="1" ht="11.25" hidden="1" customHeight="1">
      <c r="A42" s="1148"/>
      <c r="B42" s="1148"/>
      <c r="C42" s="1148"/>
      <c r="D42" s="1148"/>
      <c r="E42" s="1148"/>
      <c r="F42" s="1148"/>
      <c r="G42" s="1148"/>
      <c r="H42" s="1148"/>
      <c r="I42" s="1148"/>
      <c r="J42" s="1148"/>
      <c r="K42" s="1148"/>
      <c r="L42" s="1189"/>
      <c r="M42" s="1825"/>
      <c r="N42" s="1825"/>
      <c r="O42" s="1825"/>
      <c r="P42" s="1128"/>
      <c r="Q42" s="1129"/>
      <c r="R42" s="1136">
        <v>1</v>
      </c>
      <c r="S42" s="1159" t="s">
        <v>147</v>
      </c>
      <c r="T42" s="1137" t="s">
        <v>102</v>
      </c>
      <c r="U42" s="1127" t="str">
        <f ca="1">OFFSET(U42,0,-1)</f>
        <v>2</v>
      </c>
      <c r="V42" s="1816">
        <f ca="1">OFFSET(V42,0,-1)+1</f>
        <v>3</v>
      </c>
      <c r="W42" s="1816"/>
      <c r="X42" s="1816">
        <f ca="1">OFFSET(X42,0,-1)+1</f>
        <v>1</v>
      </c>
      <c r="Y42" s="1816">
        <f ca="1">OFFSET(Y42,0,-1)+1</f>
        <v>2</v>
      </c>
      <c r="Z42" s="1816">
        <f ca="1">OFFSET(Z42,0,-1)+1</f>
        <v>3</v>
      </c>
      <c r="AA42" s="16131">
        <f ca="1">OFFSET(AA42,0,-1)+1</f>
        <v>4</v>
      </c>
      <c r="AB42" s="16131"/>
      <c r="AC42" s="1816">
        <f ca="1">OFFSET(AC42,0,-2)+1</f>
        <v>5</v>
      </c>
      <c r="AD42" s="1816">
        <f ca="1">OFFSET(AD42,0,-1)+1</f>
        <v>6</v>
      </c>
      <c r="AE42" s="1816"/>
      <c r="AF42" s="1816">
        <f ca="1">OFFSET(AF42,0,-1)+1</f>
        <v>1</v>
      </c>
      <c r="AG42" s="1816">
        <f ca="1">OFFSET(AG42,0,-1)+1</f>
        <v>2</v>
      </c>
      <c r="AH42" s="1816">
        <f ca="1">OFFSET(AH42,0,-1)+1</f>
        <v>3</v>
      </c>
      <c r="AI42" s="16131">
        <f ca="1">OFFSET(AI42,0,-1)+1</f>
        <v>4</v>
      </c>
      <c r="AJ42" s="16131"/>
      <c r="AK42" s="1816">
        <f ca="1">OFFSET(AK42,0,-2)+1</f>
        <v>5</v>
      </c>
      <c r="AL42" s="1127">
        <f ca="1">OFFSET(AL42,0,-1)</f>
        <v>5</v>
      </c>
      <c r="AM42" s="1816">
        <f ca="1">OFFSET(AM42,0,-1)+1</f>
        <v>6</v>
      </c>
      <c r="AN42" s="1499"/>
      <c r="AO42" s="1499"/>
      <c r="AP42" s="1499"/>
      <c r="AQ42" s="1499"/>
      <c r="AR42" s="1499"/>
    </row>
    <row r="43" spans="1:44" ht="21" customHeight="1">
      <c r="A43" s="1149" t="s">
        <v>241</v>
      </c>
      <c r="B43" s="1149"/>
      <c r="C43" s="1149"/>
      <c r="D43" s="1149"/>
      <c r="E43" s="16148">
        <v>1</v>
      </c>
      <c r="F43" s="1149"/>
      <c r="G43" s="1149"/>
      <c r="H43" s="1149"/>
      <c r="I43" s="1149"/>
      <c r="J43" s="1149"/>
      <c r="K43" s="1149"/>
      <c r="L43" s="1189"/>
      <c r="M43" s="1476"/>
      <c r="N43" s="1476"/>
      <c r="O43" s="1476"/>
      <c r="P43" s="1458"/>
      <c r="Q43" s="276"/>
      <c r="R43" s="271"/>
      <c r="S43" s="1818">
        <f>INDEX(PT_DIFFERENTIATION_NUM_NTAR,MATCH(A43,PT_DIFFERENTIATION_NTAR_ID,0))</f>
        <v>0</v>
      </c>
      <c r="T43" s="1396" t="s">
        <v>158</v>
      </c>
      <c r="U43" s="217"/>
      <c r="V43" s="16110"/>
      <c r="W43" s="16111"/>
      <c r="X43" s="16111"/>
      <c r="Y43" s="16111"/>
      <c r="Z43" s="16111"/>
      <c r="AA43" s="16111"/>
      <c r="AB43" s="16111"/>
      <c r="AC43" s="16112"/>
      <c r="AD43" s="16110" t="str">
        <f>INDEX(PT_DIFFERENTIATION_NTAR,MATCH(A43,PT_DIFFERENTIATION_NTAR_ID,0))</f>
        <v/>
      </c>
      <c r="AE43" s="16111"/>
      <c r="AF43" s="16111"/>
      <c r="AG43" s="16111"/>
      <c r="AH43" s="16111"/>
      <c r="AI43" s="16111"/>
      <c r="AJ43" s="16111"/>
      <c r="AK43" s="16111"/>
      <c r="AL43" s="16112"/>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87"/>
      <c r="AP43" s="1487" t="str">
        <f t="shared" ref="AP43:AP57" si="1">IF(T43="","",T43)</f>
        <v>Наименование тарифа</v>
      </c>
      <c r="AQ43" s="1487"/>
      <c r="AR43" s="1487"/>
    </row>
    <row r="44" spans="1:44" ht="21" customHeight="1">
      <c r="A44" s="1149" t="s">
        <v>241</v>
      </c>
      <c r="B44" s="1149" t="s">
        <v>242</v>
      </c>
      <c r="C44" s="1149"/>
      <c r="D44" s="1149"/>
      <c r="E44" s="16149"/>
      <c r="F44" s="16148">
        <v>1</v>
      </c>
      <c r="G44" s="1149"/>
      <c r="H44" s="1149"/>
      <c r="I44" s="1149"/>
      <c r="J44" s="1149"/>
      <c r="K44" s="1149"/>
      <c r="L44" s="1189"/>
      <c r="M44" s="1476"/>
      <c r="N44" s="1476"/>
      <c r="O44" s="1476"/>
      <c r="P44" s="1800"/>
      <c r="Q44" s="268"/>
      <c r="R44" s="269"/>
      <c r="S44" s="1818" t="str">
        <f>INDEX(PT_DIFFERENTIATION_NUM_TER,MATCH(B44,PT_DIFFERENTIATION_TER_ID,0))</f>
        <v>.</v>
      </c>
      <c r="T44" s="1393" t="s">
        <v>534</v>
      </c>
      <c r="U44" s="217"/>
      <c r="V44" s="16110"/>
      <c r="W44" s="16111"/>
      <c r="X44" s="16111"/>
      <c r="Y44" s="16111"/>
      <c r="Z44" s="16111"/>
      <c r="AA44" s="16111"/>
      <c r="AB44" s="16111"/>
      <c r="AC44" s="16112"/>
      <c r="AD44" s="16110" t="str">
        <f>INDEX(PT_DIFFERENTIATION_TER,MATCH(B44,PT_DIFFERENTIATION_TER_ID,0))</f>
        <v/>
      </c>
      <c r="AE44" s="16111"/>
      <c r="AF44" s="16111"/>
      <c r="AG44" s="16111"/>
      <c r="AH44" s="16111"/>
      <c r="AI44" s="16111"/>
      <c r="AJ44" s="16111"/>
      <c r="AK44" s="16111"/>
      <c r="AL44" s="16112"/>
      <c r="AM44" s="1140" t="s">
        <v>535</v>
      </c>
      <c r="AO44" s="1487"/>
      <c r="AP44" s="1487" t="str">
        <f t="shared" si="1"/>
        <v>Территория действия тарифа</v>
      </c>
      <c r="AQ44" s="1487"/>
      <c r="AR44" s="1487"/>
    </row>
    <row r="45" spans="1:44" ht="23.25" customHeight="1">
      <c r="A45" s="1149" t="s">
        <v>241</v>
      </c>
      <c r="B45" s="1149" t="s">
        <v>242</v>
      </c>
      <c r="C45" s="1149" t="s">
        <v>243</v>
      </c>
      <c r="D45" s="1149"/>
      <c r="E45" s="16149"/>
      <c r="F45" s="16149"/>
      <c r="G45" s="16148">
        <v>1</v>
      </c>
      <c r="H45" s="1149"/>
      <c r="I45" s="1149"/>
      <c r="J45" s="1149"/>
      <c r="K45" s="1149"/>
      <c r="L45" s="1189"/>
      <c r="M45" s="1476"/>
      <c r="N45" s="1476"/>
      <c r="O45" s="1476"/>
      <c r="P45" s="270"/>
      <c r="Q45" s="268"/>
      <c r="R45" s="269"/>
      <c r="S45" s="1818" t="str">
        <f>INDEX(PT_DIFFERENTIATION_NUM_CS,MATCH(C45,PT_DIFFERENTIATION_CS_ID,0))</f>
        <v>..</v>
      </c>
      <c r="T45" s="226" t="s">
        <v>536</v>
      </c>
      <c r="U45" s="217"/>
      <c r="V45" s="16110"/>
      <c r="W45" s="16111"/>
      <c r="X45" s="16111"/>
      <c r="Y45" s="16111"/>
      <c r="Z45" s="16111"/>
      <c r="AA45" s="16111"/>
      <c r="AB45" s="16111"/>
      <c r="AC45" s="16112"/>
      <c r="AD45" s="16110" t="str">
        <f>INDEX(PT_DIFFERENTIATION_CS,MATCH(C45,PT_DIFFERENTIATION_CS_ID,0))</f>
        <v/>
      </c>
      <c r="AE45" s="16111"/>
      <c r="AF45" s="16111"/>
      <c r="AG45" s="16111"/>
      <c r="AH45" s="16111"/>
      <c r="AI45" s="16111"/>
      <c r="AJ45" s="16111"/>
      <c r="AK45" s="16111"/>
      <c r="AL45" s="16112"/>
      <c r="AM45" s="1140" t="s">
        <v>537</v>
      </c>
      <c r="AO45" s="1487"/>
      <c r="AP45" s="1487" t="str">
        <f t="shared" si="1"/>
        <v xml:space="preserve">Наименование системы теплоснабжения </v>
      </c>
      <c r="AQ45" s="1487"/>
      <c r="AR45" s="1487"/>
    </row>
    <row r="46" spans="1:44" ht="21" customHeight="1">
      <c r="A46" s="1149" t="s">
        <v>241</v>
      </c>
      <c r="B46" s="1149" t="s">
        <v>242</v>
      </c>
      <c r="C46" s="1149" t="s">
        <v>243</v>
      </c>
      <c r="D46" s="1149" t="s">
        <v>244</v>
      </c>
      <c r="E46" s="16149"/>
      <c r="F46" s="16149"/>
      <c r="G46" s="16149"/>
      <c r="H46" s="16148">
        <v>1</v>
      </c>
      <c r="I46" s="1149"/>
      <c r="J46" s="1149"/>
      <c r="K46" s="1149"/>
      <c r="L46" s="1189"/>
      <c r="M46" s="1476"/>
      <c r="N46" s="1476"/>
      <c r="O46" s="1476"/>
      <c r="P46" s="270"/>
      <c r="Q46" s="268"/>
      <c r="R46" s="269"/>
      <c r="S46" s="1818" t="str">
        <f>INDEX(PT_DIFFERENTIATION_NUM_IST_TE,MATCH(D46,PT_DIFFERENTIATION_IST_TE_ID,0))</f>
        <v>...</v>
      </c>
      <c r="T46" s="227" t="s">
        <v>538</v>
      </c>
      <c r="U46" s="217"/>
      <c r="V46" s="16110"/>
      <c r="W46" s="16111"/>
      <c r="X46" s="16111"/>
      <c r="Y46" s="16111"/>
      <c r="Z46" s="16111"/>
      <c r="AA46" s="16111"/>
      <c r="AB46" s="16111"/>
      <c r="AC46" s="16112"/>
      <c r="AD46" s="16110" t="str">
        <f>INDEX(PT_DIFFERENTIATION_IST_TE,MATCH(D46,PT_DIFFERENTIATION_IST_TE_ID,0))</f>
        <v/>
      </c>
      <c r="AE46" s="16111"/>
      <c r="AF46" s="16111"/>
      <c r="AG46" s="16111"/>
      <c r="AH46" s="16111"/>
      <c r="AI46" s="16111"/>
      <c r="AJ46" s="16111"/>
      <c r="AK46" s="16111"/>
      <c r="AL46" s="16112"/>
      <c r="AM46" s="1140" t="s">
        <v>539</v>
      </c>
      <c r="AO46" s="1487"/>
      <c r="AP46" s="1487" t="str">
        <f t="shared" si="1"/>
        <v xml:space="preserve">Источник тепловой энергии  </v>
      </c>
      <c r="AQ46" s="1487"/>
      <c r="AR46" s="1487"/>
    </row>
    <row r="47" spans="1:44" ht="47.25" customHeight="1">
      <c r="A47" s="1149" t="s">
        <v>241</v>
      </c>
      <c r="B47" s="1149" t="s">
        <v>242</v>
      </c>
      <c r="C47" s="1149" t="s">
        <v>243</v>
      </c>
      <c r="D47" s="1149" t="s">
        <v>244</v>
      </c>
      <c r="E47" s="16149"/>
      <c r="F47" s="16149"/>
      <c r="G47" s="16149"/>
      <c r="H47" s="16149"/>
      <c r="I47" s="15992" t="str">
        <f>S46&amp;".1"</f>
        <v>....1</v>
      </c>
      <c r="J47" s="1149"/>
      <c r="K47" s="1149"/>
      <c r="L47" s="1189" t="s">
        <v>540</v>
      </c>
      <c r="P47" s="16123">
        <v>1</v>
      </c>
      <c r="Q47" s="1814"/>
      <c r="R47" s="272"/>
      <c r="S47" s="1818" t="str">
        <f>$I47</f>
        <v>....1</v>
      </c>
      <c r="T47" s="202" t="s">
        <v>541</v>
      </c>
      <c r="U47" s="217"/>
      <c r="V47" s="16113"/>
      <c r="W47" s="16114"/>
      <c r="X47" s="16114"/>
      <c r="Y47" s="16114"/>
      <c r="Z47" s="16114"/>
      <c r="AA47" s="16114"/>
      <c r="AB47" s="16114"/>
      <c r="AC47" s="16115"/>
      <c r="AD47" s="16113"/>
      <c r="AE47" s="16114"/>
      <c r="AF47" s="16114"/>
      <c r="AG47" s="16114"/>
      <c r="AH47" s="16114"/>
      <c r="AI47" s="16114"/>
      <c r="AJ47" s="16114"/>
      <c r="AK47" s="16114"/>
      <c r="AL47" s="16115"/>
      <c r="AM47" s="1140" t="s">
        <v>542</v>
      </c>
      <c r="AO47" s="1487"/>
      <c r="AP47" s="1487" t="str">
        <f t="shared" si="1"/>
        <v>Схема подключения теплопотребляющей установки к коллектору источника тепловой энергии</v>
      </c>
      <c r="AQ47" s="1487"/>
      <c r="AR47" s="1487"/>
    </row>
    <row r="48" spans="1:44" ht="21" customHeight="1">
      <c r="A48" s="1149" t="s">
        <v>241</v>
      </c>
      <c r="B48" s="1149" t="s">
        <v>242</v>
      </c>
      <c r="C48" s="1149" t="s">
        <v>243</v>
      </c>
      <c r="D48" s="1149" t="s">
        <v>244</v>
      </c>
      <c r="E48" s="16149"/>
      <c r="F48" s="16149"/>
      <c r="G48" s="16149"/>
      <c r="H48" s="16149"/>
      <c r="I48" s="15963"/>
      <c r="J48" s="15992" t="str">
        <f>I47&amp;".1"</f>
        <v>....1.1</v>
      </c>
      <c r="K48" s="1149"/>
      <c r="L48" s="1189" t="s">
        <v>543</v>
      </c>
      <c r="P48" s="16123"/>
      <c r="Q48" s="16123">
        <v>1</v>
      </c>
      <c r="R48" s="273"/>
      <c r="S48" s="1818" t="str">
        <f>$J48</f>
        <v>....1.1</v>
      </c>
      <c r="T48" s="203" t="s">
        <v>544</v>
      </c>
      <c r="U48" s="217"/>
      <c r="V48" s="16113"/>
      <c r="W48" s="16114"/>
      <c r="X48" s="16114"/>
      <c r="Y48" s="16114"/>
      <c r="Z48" s="16114"/>
      <c r="AA48" s="16114"/>
      <c r="AB48" s="16114"/>
      <c r="AC48" s="16115"/>
      <c r="AD48" s="16113"/>
      <c r="AE48" s="16114"/>
      <c r="AF48" s="16114"/>
      <c r="AG48" s="16114"/>
      <c r="AH48" s="16114"/>
      <c r="AI48" s="16114"/>
      <c r="AJ48" s="16114"/>
      <c r="AK48" s="16114"/>
      <c r="AL48" s="16115"/>
      <c r="AM48" s="1140" t="s">
        <v>545</v>
      </c>
      <c r="AO48" s="1487"/>
      <c r="AP48" s="1487" t="str">
        <f t="shared" si="1"/>
        <v>Группа потребителей</v>
      </c>
      <c r="AQ48" s="1487"/>
      <c r="AR48" s="1487"/>
    </row>
    <row r="49" spans="1:44" ht="21" customHeight="1">
      <c r="A49" s="1149" t="s">
        <v>241</v>
      </c>
      <c r="B49" s="1149" t="s">
        <v>242</v>
      </c>
      <c r="C49" s="1149" t="s">
        <v>243</v>
      </c>
      <c r="D49" s="1149" t="s">
        <v>244</v>
      </c>
      <c r="E49" s="16149"/>
      <c r="F49" s="16149"/>
      <c r="G49" s="16149"/>
      <c r="H49" s="16149"/>
      <c r="I49" s="15963"/>
      <c r="J49" s="15963"/>
      <c r="K49" s="15992" t="str">
        <f>J48&amp;".1"</f>
        <v>....1.1.1</v>
      </c>
      <c r="L49" s="1189" t="s">
        <v>546</v>
      </c>
      <c r="P49" s="16123"/>
      <c r="Q49" s="16123"/>
      <c r="R49" s="273">
        <v>1</v>
      </c>
      <c r="S49" s="1818" t="str">
        <f>$K49</f>
        <v>....1.1.1</v>
      </c>
      <c r="T49" s="1225"/>
      <c r="U49" s="217"/>
      <c r="V49" s="649"/>
      <c r="W49" s="242"/>
      <c r="X49" s="649"/>
      <c r="Y49" s="1139"/>
      <c r="Z49" s="16127"/>
      <c r="AA49" s="15973" t="s">
        <v>66</v>
      </c>
      <c r="AB49" s="16127"/>
      <c r="AC49" s="15973" t="s">
        <v>66</v>
      </c>
      <c r="AD49" s="649"/>
      <c r="AE49" s="242"/>
      <c r="AF49" s="649"/>
      <c r="AG49" s="1139"/>
      <c r="AH49" s="16127"/>
      <c r="AI49" s="15973" t="s">
        <v>66</v>
      </c>
      <c r="AJ49" s="16146"/>
      <c r="AK49" s="15973" t="s">
        <v>66</v>
      </c>
      <c r="AL49" s="1226"/>
      <c r="AM49" s="16119" t="s">
        <v>547</v>
      </c>
      <c r="AN49" s="1499" t="e">
        <f ca="1">STRCHECKDATE(V50:AL50)</f>
        <v>#NAME?</v>
      </c>
      <c r="AO49" s="1487"/>
      <c r="AP49" s="1487" t="str">
        <f t="shared" si="1"/>
        <v/>
      </c>
      <c r="AQ49" s="1487"/>
      <c r="AR49" s="1487"/>
    </row>
    <row r="50" spans="1:44" ht="0.75" customHeight="1">
      <c r="A50" s="1149" t="s">
        <v>241</v>
      </c>
      <c r="B50" s="1149" t="s">
        <v>242</v>
      </c>
      <c r="C50" s="1149" t="s">
        <v>243</v>
      </c>
      <c r="D50" s="1149" t="s">
        <v>244</v>
      </c>
      <c r="E50" s="16149"/>
      <c r="F50" s="16149"/>
      <c r="G50" s="16149"/>
      <c r="H50" s="16149"/>
      <c r="I50" s="15963"/>
      <c r="J50" s="15963"/>
      <c r="K50" s="15992"/>
      <c r="L50" s="1189"/>
      <c r="P50" s="16123"/>
      <c r="Q50" s="16123"/>
      <c r="R50" s="273"/>
      <c r="S50" s="1827"/>
      <c r="T50" s="217"/>
      <c r="U50" s="217"/>
      <c r="V50" s="242"/>
      <c r="W50" s="242"/>
      <c r="X50" s="242"/>
      <c r="Y50" s="245" t="str">
        <f>Z49&amp;"-"&amp;AB49</f>
        <v>-</v>
      </c>
      <c r="Z50" s="16128"/>
      <c r="AA50" s="15973"/>
      <c r="AB50" s="16128"/>
      <c r="AC50" s="15973"/>
      <c r="AD50" s="242"/>
      <c r="AE50" s="242"/>
      <c r="AF50" s="242"/>
      <c r="AG50" s="245" t="str">
        <f>AH49&amp;"-"&amp;AJ49</f>
        <v>-</v>
      </c>
      <c r="AH50" s="16128"/>
      <c r="AI50" s="15973"/>
      <c r="AJ50" s="16147"/>
      <c r="AK50" s="15973"/>
      <c r="AL50" s="1227"/>
      <c r="AM50" s="16120"/>
      <c r="AO50" s="1487"/>
      <c r="AP50" s="1487" t="str">
        <f t="shared" si="1"/>
        <v/>
      </c>
      <c r="AQ50" s="1487"/>
      <c r="AR50" s="1487"/>
    </row>
    <row r="51" spans="1:44" ht="11.25" customHeight="1">
      <c r="A51" s="1149" t="s">
        <v>241</v>
      </c>
      <c r="B51" s="1149" t="s">
        <v>242</v>
      </c>
      <c r="C51" s="1149" t="s">
        <v>243</v>
      </c>
      <c r="D51" s="1149" t="s">
        <v>244</v>
      </c>
      <c r="E51" s="16149"/>
      <c r="F51" s="16149"/>
      <c r="G51" s="16149"/>
      <c r="H51" s="16149"/>
      <c r="I51" s="15963"/>
      <c r="J51" s="15992"/>
      <c r="K51" s="1149"/>
      <c r="L51" s="1189"/>
      <c r="P51" s="16123"/>
      <c r="Q51" s="16123"/>
      <c r="R51" s="272"/>
      <c r="S51" s="1160"/>
      <c r="T51" s="205" t="s">
        <v>548</v>
      </c>
      <c r="U51" s="503"/>
      <c r="V51" s="503"/>
      <c r="W51" s="503"/>
      <c r="X51" s="503"/>
      <c r="Y51" s="503"/>
      <c r="Z51" s="503"/>
      <c r="AA51" s="503"/>
      <c r="AB51" s="503"/>
      <c r="AC51" s="503"/>
      <c r="AD51" s="503"/>
      <c r="AE51" s="503"/>
      <c r="AF51" s="503"/>
      <c r="AG51" s="503"/>
      <c r="AH51" s="503"/>
      <c r="AI51" s="503"/>
      <c r="AJ51" s="503"/>
      <c r="AK51" s="503"/>
      <c r="AL51" s="241"/>
      <c r="AM51" s="16121"/>
      <c r="AO51" s="1487"/>
      <c r="AP51" s="1487" t="str">
        <f t="shared" si="1"/>
        <v>Добавить вид теплоносителя (параметры теплоносителя)</v>
      </c>
      <c r="AQ51" s="1487"/>
      <c r="AR51" s="1487"/>
    </row>
    <row r="52" spans="1:44" ht="11.25" customHeight="1">
      <c r="A52" s="1149" t="s">
        <v>241</v>
      </c>
      <c r="B52" s="1149" t="s">
        <v>242</v>
      </c>
      <c r="C52" s="1149" t="s">
        <v>243</v>
      </c>
      <c r="D52" s="1149" t="s">
        <v>244</v>
      </c>
      <c r="E52" s="16149"/>
      <c r="F52" s="16149"/>
      <c r="G52" s="16149"/>
      <c r="H52" s="16149"/>
      <c r="I52" s="15992"/>
      <c r="J52" s="1149"/>
      <c r="K52" s="1149"/>
      <c r="L52" s="1189"/>
      <c r="P52" s="16123"/>
      <c r="Q52" s="1814"/>
      <c r="R52" s="272"/>
      <c r="S52" s="1160"/>
      <c r="T52" s="204" t="s">
        <v>549</v>
      </c>
      <c r="U52" s="503"/>
      <c r="V52" s="503"/>
      <c r="W52" s="503"/>
      <c r="X52" s="503"/>
      <c r="Y52" s="503"/>
      <c r="Z52" s="503"/>
      <c r="AA52" s="503"/>
      <c r="AB52" s="503"/>
      <c r="AC52" s="281"/>
      <c r="AD52" s="503"/>
      <c r="AE52" s="503"/>
      <c r="AF52" s="503"/>
      <c r="AG52" s="503"/>
      <c r="AH52" s="503"/>
      <c r="AI52" s="503"/>
      <c r="AJ52" s="503"/>
      <c r="AK52" s="281"/>
      <c r="AL52" s="503"/>
      <c r="AM52" s="220"/>
      <c r="AO52" s="1487"/>
      <c r="AP52" s="1487" t="str">
        <f t="shared" si="1"/>
        <v>Добавить группу потребителей</v>
      </c>
      <c r="AQ52" s="1487"/>
      <c r="AR52" s="1487"/>
    </row>
    <row r="53" spans="1:44" ht="14.25" customHeight="1">
      <c r="A53" s="1149" t="s">
        <v>241</v>
      </c>
      <c r="B53" s="1149" t="s">
        <v>242</v>
      </c>
      <c r="C53" s="1149" t="s">
        <v>243</v>
      </c>
      <c r="D53" s="1149" t="s">
        <v>244</v>
      </c>
      <c r="E53" s="16149"/>
      <c r="F53" s="16149"/>
      <c r="G53" s="16149"/>
      <c r="H53" s="16148"/>
      <c r="I53" s="1149"/>
      <c r="J53" s="1149"/>
      <c r="K53" s="1149"/>
      <c r="L53" s="1189"/>
      <c r="M53" s="1476"/>
      <c r="N53" s="1476"/>
      <c r="O53" s="1498"/>
      <c r="P53" s="276"/>
      <c r="Q53" s="290"/>
      <c r="R53" s="271"/>
      <c r="S53" s="1160"/>
      <c r="T53" s="280" t="s">
        <v>550</v>
      </c>
      <c r="U53" s="503"/>
      <c r="V53" s="503"/>
      <c r="W53" s="503"/>
      <c r="X53" s="503"/>
      <c r="Y53" s="503"/>
      <c r="Z53" s="503"/>
      <c r="AA53" s="503"/>
      <c r="AB53" s="503"/>
      <c r="AC53" s="281"/>
      <c r="AD53" s="503"/>
      <c r="AE53" s="503"/>
      <c r="AF53" s="503"/>
      <c r="AG53" s="503"/>
      <c r="AH53" s="503"/>
      <c r="AI53" s="503"/>
      <c r="AJ53" s="503"/>
      <c r="AK53" s="281"/>
      <c r="AL53" s="503"/>
      <c r="AM53" s="220"/>
      <c r="AO53" s="1487"/>
      <c r="AP53" s="1487" t="str">
        <f t="shared" si="1"/>
        <v>Добавить схему подключения</v>
      </c>
      <c r="AQ53" s="1487"/>
      <c r="AR53" s="1487"/>
    </row>
    <row r="54" spans="1:44" s="14429" customFormat="1" ht="0.75" customHeight="1">
      <c r="A54" s="1252" t="s">
        <v>241</v>
      </c>
      <c r="B54" s="1252" t="s">
        <v>242</v>
      </c>
      <c r="C54" s="1252" t="s">
        <v>243</v>
      </c>
      <c r="D54" s="1251"/>
      <c r="E54" s="16149"/>
      <c r="F54" s="16149"/>
      <c r="G54" s="16148"/>
      <c r="H54" s="1251"/>
      <c r="I54" s="1251"/>
      <c r="J54" s="1251"/>
      <c r="K54" s="1251"/>
      <c r="L54" s="1254"/>
      <c r="M54" s="1255"/>
      <c r="N54" s="1255"/>
      <c r="O54" s="267"/>
      <c r="P54" s="1195"/>
      <c r="Q54" s="1196"/>
      <c r="R54" s="1195"/>
      <c r="S54" s="1201"/>
      <c r="T54" s="1204" t="s">
        <v>551</v>
      </c>
      <c r="U54" s="1203"/>
      <c r="V54" s="1203"/>
      <c r="W54" s="1203"/>
      <c r="X54" s="1203"/>
      <c r="Y54" s="1203"/>
      <c r="Z54" s="1203"/>
      <c r="AA54" s="1203"/>
      <c r="AB54" s="1203"/>
      <c r="AC54" s="1203"/>
      <c r="AD54" s="1203"/>
      <c r="AE54" s="1203"/>
      <c r="AF54" s="1203"/>
      <c r="AG54" s="1203"/>
      <c r="AH54" s="1203"/>
      <c r="AI54" s="1203"/>
      <c r="AJ54" s="1203"/>
      <c r="AK54" s="1203"/>
      <c r="AL54" s="1203"/>
      <c r="AM54" s="1203"/>
      <c r="AO54" s="1133"/>
      <c r="AP54" s="1133" t="str">
        <f t="shared" si="1"/>
        <v>Добавить источник для дифференциации</v>
      </c>
      <c r="AQ54" s="1133"/>
      <c r="AR54" s="1133"/>
    </row>
    <row r="55" spans="1:44" s="14429" customFormat="1" ht="0.75" customHeight="1">
      <c r="A55" s="1252" t="s">
        <v>241</v>
      </c>
      <c r="B55" s="1252" t="s">
        <v>242</v>
      </c>
      <c r="C55" s="1251"/>
      <c r="D55" s="1251"/>
      <c r="E55" s="16149"/>
      <c r="F55" s="16148"/>
      <c r="G55" s="1251"/>
      <c r="H55" s="1251"/>
      <c r="I55" s="1251"/>
      <c r="J55" s="1251"/>
      <c r="K55" s="1251"/>
      <c r="L55" s="1254"/>
      <c r="M55" s="1256"/>
      <c r="N55" s="1256"/>
      <c r="O55" s="267"/>
      <c r="P55" s="1195"/>
      <c r="Q55" s="1196"/>
      <c r="R55" s="1195"/>
      <c r="S55" s="1201"/>
      <c r="T55" s="1204" t="s">
        <v>290</v>
      </c>
      <c r="U55" s="1203"/>
      <c r="V55" s="1203"/>
      <c r="W55" s="1203"/>
      <c r="X55" s="1203"/>
      <c r="Y55" s="1203"/>
      <c r="Z55" s="1203"/>
      <c r="AA55" s="1203"/>
      <c r="AB55" s="1203"/>
      <c r="AC55" s="1203"/>
      <c r="AD55" s="1203"/>
      <c r="AE55" s="1203"/>
      <c r="AF55" s="1203"/>
      <c r="AG55" s="1203"/>
      <c r="AH55" s="1203"/>
      <c r="AI55" s="1203"/>
      <c r="AJ55" s="1203"/>
      <c r="AK55" s="1203"/>
      <c r="AL55" s="1203"/>
      <c r="AM55" s="1203"/>
      <c r="AO55" s="1133"/>
      <c r="AP55" s="1133" t="str">
        <f t="shared" si="1"/>
        <v>Добавить централизованную систему для дифференциации</v>
      </c>
      <c r="AQ55" s="1133"/>
      <c r="AR55" s="1133"/>
    </row>
    <row r="56" spans="1:44" s="14432" customFormat="1" ht="0.75" customHeight="1">
      <c r="A56" s="1252" t="s">
        <v>241</v>
      </c>
      <c r="B56" s="1252"/>
      <c r="C56" s="1252"/>
      <c r="D56" s="1252"/>
      <c r="E56" s="16148"/>
      <c r="F56" s="1252"/>
      <c r="G56" s="1252"/>
      <c r="H56" s="1252"/>
      <c r="I56" s="1252"/>
      <c r="J56" s="1252"/>
      <c r="K56" s="1252"/>
      <c r="L56" s="1258"/>
      <c r="M56" s="1256"/>
      <c r="N56" s="1256"/>
      <c r="O56" s="267"/>
      <c r="P56" s="295"/>
      <c r="Q56" s="1222"/>
      <c r="R56" s="295"/>
      <c r="S56" s="1201"/>
      <c r="T56" s="1204" t="s">
        <v>326</v>
      </c>
      <c r="U56" s="1203"/>
      <c r="V56" s="1203"/>
      <c r="W56" s="1203"/>
      <c r="X56" s="1203"/>
      <c r="Y56" s="1203"/>
      <c r="Z56" s="1203"/>
      <c r="AA56" s="1203"/>
      <c r="AB56" s="1203"/>
      <c r="AC56" s="1203"/>
      <c r="AD56" s="1203"/>
      <c r="AE56" s="1203"/>
      <c r="AF56" s="1203"/>
      <c r="AG56" s="1203"/>
      <c r="AH56" s="1203"/>
      <c r="AI56" s="1203"/>
      <c r="AJ56" s="1203"/>
      <c r="AK56" s="1203"/>
      <c r="AL56" s="1203"/>
      <c r="AM56" s="1203"/>
      <c r="AO56" s="1487"/>
      <c r="AP56" s="1487" t="str">
        <f t="shared" si="1"/>
        <v>Добавить территорию для дифференциации</v>
      </c>
      <c r="AQ56" s="1487"/>
      <c r="AR56" s="1487"/>
    </row>
    <row r="57" spans="1:44" s="14429" customFormat="1" ht="0.75" customHeight="1">
      <c r="A57" s="1251"/>
      <c r="B57" s="1251"/>
      <c r="C57" s="1251"/>
      <c r="D57" s="1251"/>
      <c r="E57" s="1252"/>
      <c r="F57" s="1251"/>
      <c r="G57" s="1251"/>
      <c r="H57" s="1251"/>
      <c r="I57" s="1251"/>
      <c r="J57" s="1251"/>
      <c r="K57" s="1251"/>
      <c r="L57" s="1254"/>
      <c r="M57" s="1256"/>
      <c r="N57" s="1256"/>
      <c r="O57" s="267"/>
      <c r="P57" s="1195"/>
      <c r="Q57" s="1196"/>
      <c r="R57" s="1195"/>
      <c r="S57" s="1201"/>
      <c r="T57" s="1204" t="s">
        <v>390</v>
      </c>
      <c r="U57" s="1203"/>
      <c r="V57" s="1203"/>
      <c r="W57" s="1203"/>
      <c r="X57" s="1203"/>
      <c r="Y57" s="1203"/>
      <c r="Z57" s="1203"/>
      <c r="AA57" s="1203"/>
      <c r="AB57" s="1203"/>
      <c r="AC57" s="1203"/>
      <c r="AD57" s="1203"/>
      <c r="AE57" s="1203"/>
      <c r="AF57" s="1203"/>
      <c r="AG57" s="1203"/>
      <c r="AH57" s="1203"/>
      <c r="AI57" s="1203"/>
      <c r="AJ57" s="1203"/>
      <c r="AK57" s="1203"/>
      <c r="AL57" s="1203"/>
      <c r="AM57" s="1203"/>
      <c r="AO57" s="1133"/>
      <c r="AP57" s="1133" t="str">
        <f t="shared" si="1"/>
        <v>Добавить наименование тарифа</v>
      </c>
      <c r="AQ57" s="1133"/>
      <c r="AR57" s="1133"/>
    </row>
    <row r="58" spans="1:44" ht="11.25" customHeight="1">
      <c r="M58" s="1494"/>
      <c r="N58" s="1494"/>
      <c r="O58" s="1498"/>
      <c r="P58" s="1494"/>
      <c r="Q58" s="1494"/>
      <c r="R58" s="1494"/>
      <c r="S58" s="1494"/>
      <c r="AN58" s="1494"/>
      <c r="AO58" s="1494"/>
      <c r="AP58" s="1494"/>
      <c r="AQ58" s="1494"/>
      <c r="AR58" s="1494"/>
    </row>
    <row r="59" spans="1:44" ht="27" customHeight="1">
      <c r="O59" s="1498"/>
      <c r="S59" s="1135"/>
      <c r="T59" s="16144"/>
      <c r="U59" s="16144"/>
      <c r="V59" s="16144"/>
      <c r="W59" s="16144"/>
      <c r="X59" s="16144"/>
      <c r="Y59" s="16144"/>
      <c r="Z59" s="16144"/>
      <c r="AA59" s="16144"/>
      <c r="AB59" s="16144"/>
      <c r="AC59" s="16144"/>
      <c r="AD59" s="16144"/>
      <c r="AE59" s="16144"/>
      <c r="AF59" s="16144"/>
      <c r="AG59" s="16144"/>
      <c r="AH59" s="16144"/>
      <c r="AI59" s="16144"/>
      <c r="AJ59" s="16144"/>
      <c r="AK59" s="16144"/>
      <c r="AL59" s="16144"/>
      <c r="AM59" s="16144"/>
    </row>
    <row r="60" spans="1:44" ht="62.25" customHeight="1">
      <c r="O60" s="1498"/>
      <c r="T60" s="16144"/>
      <c r="U60" s="16144"/>
      <c r="V60" s="16144"/>
      <c r="W60" s="16144"/>
      <c r="X60" s="16144"/>
      <c r="Y60" s="16144"/>
      <c r="Z60" s="16144"/>
      <c r="AA60" s="16144"/>
      <c r="AB60" s="16144"/>
      <c r="AC60" s="16144"/>
      <c r="AD60" s="16144"/>
      <c r="AE60" s="16144"/>
      <c r="AF60" s="16144"/>
      <c r="AG60" s="16144"/>
      <c r="AH60" s="16144"/>
      <c r="AI60" s="16144"/>
      <c r="AJ60" s="16144"/>
      <c r="AK60" s="16144"/>
      <c r="AL60" s="16144"/>
      <c r="AM60" s="16144"/>
    </row>
    <row r="61" spans="1:44" ht="14.25" customHeight="1">
      <c r="O61" s="1498"/>
    </row>
    <row r="62" spans="1:44" ht="18" customHeight="1">
      <c r="O62" s="1498"/>
      <c r="S62" s="1135"/>
      <c r="T62" s="16144"/>
      <c r="U62" s="16144"/>
      <c r="V62" s="16144"/>
      <c r="W62" s="16144"/>
      <c r="X62" s="16144"/>
      <c r="Y62" s="16144"/>
      <c r="Z62" s="16144"/>
      <c r="AA62" s="16144"/>
      <c r="AB62" s="16144"/>
      <c r="AC62" s="16144"/>
      <c r="AD62" s="16144"/>
      <c r="AE62" s="16144"/>
      <c r="AF62" s="16144"/>
      <c r="AG62" s="16144"/>
      <c r="AH62" s="16144"/>
      <c r="AI62" s="16144"/>
      <c r="AJ62" s="16144"/>
      <c r="AK62" s="16144"/>
      <c r="AL62" s="16144"/>
      <c r="AM62" s="16144"/>
    </row>
    <row r="63" spans="1:44" ht="18" customHeight="1">
      <c r="O63" s="1498"/>
      <c r="T63" s="16144"/>
      <c r="U63" s="16144"/>
      <c r="V63" s="16144"/>
      <c r="W63" s="16144"/>
      <c r="X63" s="16144"/>
      <c r="Y63" s="16144"/>
      <c r="Z63" s="16144"/>
      <c r="AA63" s="16144"/>
      <c r="AB63" s="16144"/>
      <c r="AC63" s="16144"/>
      <c r="AD63" s="16144"/>
      <c r="AE63" s="16144"/>
      <c r="AF63" s="16144"/>
      <c r="AG63" s="16144"/>
      <c r="AH63" s="16144"/>
      <c r="AI63" s="16144"/>
      <c r="AJ63" s="16144"/>
      <c r="AK63" s="16144"/>
      <c r="AL63" s="16144"/>
      <c r="AM63" s="16144"/>
    </row>
    <row r="64" spans="1:44" ht="27.75" customHeight="1">
      <c r="O64" s="1498"/>
      <c r="S64" s="1135"/>
      <c r="T64" s="16144"/>
      <c r="U64" s="16144"/>
      <c r="V64" s="16144"/>
      <c r="W64" s="16144"/>
      <c r="X64" s="16144"/>
      <c r="Y64" s="16144"/>
      <c r="Z64" s="16144"/>
      <c r="AA64" s="16144"/>
      <c r="AB64" s="16144"/>
      <c r="AC64" s="16144"/>
      <c r="AD64" s="16144"/>
      <c r="AE64" s="16144"/>
      <c r="AF64" s="16144"/>
      <c r="AG64" s="16144"/>
      <c r="AH64" s="16144"/>
      <c r="AI64" s="16144"/>
      <c r="AJ64" s="16144"/>
      <c r="AK64" s="16144"/>
      <c r="AL64" s="16144"/>
      <c r="AM64" s="16144"/>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4433" hidden="1"/>
    <col min="2" max="2" width="11" style="14433" hidden="1" customWidth="1"/>
    <col min="3" max="3" width="10.5703125" style="14433" hidden="1"/>
    <col min="4" max="4" width="11.85546875" style="14433" hidden="1" customWidth="1"/>
    <col min="5" max="5" width="10" style="14433" hidden="1" customWidth="1"/>
    <col min="6" max="6" width="8.7109375" style="14433" hidden="1" customWidth="1"/>
    <col min="7" max="7" width="7.5703125" style="14433" hidden="1" customWidth="1"/>
    <col min="8" max="8" width="11.42578125" style="14433" hidden="1" customWidth="1"/>
    <col min="9" max="9" width="12" style="14433" hidden="1" customWidth="1"/>
    <col min="10" max="10" width="9.85546875" style="14433" hidden="1" customWidth="1"/>
    <col min="11" max="11" width="11.42578125" style="14433" hidden="1" customWidth="1"/>
    <col min="12" max="12" width="19.140625" style="14434" hidden="1" customWidth="1"/>
    <col min="13" max="14" width="12.28515625" style="14435" hidden="1" customWidth="1"/>
    <col min="15" max="15" width="23.42578125" style="14435" hidden="1" customWidth="1"/>
    <col min="16" max="16" width="3.7109375" style="14435" customWidth="1"/>
    <col min="17" max="18" width="3.7109375" style="14425" customWidth="1"/>
    <col min="19" max="19" width="12.7109375" style="14426" customWidth="1"/>
    <col min="20" max="20" width="32" style="14433" customWidth="1"/>
    <col min="21" max="21" width="0.140625" style="14433" customWidth="1"/>
    <col min="22" max="22" width="24.7109375" style="14433" hidden="1" customWidth="1"/>
    <col min="23" max="23" width="0.140625" style="14433" hidden="1" customWidth="1"/>
    <col min="24" max="25" width="24.7109375" style="14433" hidden="1" customWidth="1"/>
    <col min="26" max="26" width="11.7109375" style="14433" hidden="1" customWidth="1"/>
    <col min="27" max="27" width="3.7109375" style="14433" hidden="1" customWidth="1"/>
    <col min="28" max="28" width="11.7109375" style="14433" hidden="1" customWidth="1"/>
    <col min="29" max="29" width="8.5703125" style="14433" hidden="1" customWidth="1"/>
    <col min="30" max="30" width="24.7109375" style="14433" customWidth="1"/>
    <col min="31" max="31" width="0.140625" style="14433" customWidth="1"/>
    <col min="32" max="33" width="24.7109375" style="14433" customWidth="1"/>
    <col min="34" max="34" width="11.7109375" style="14433" customWidth="1"/>
    <col min="35" max="35" width="3.7109375" style="14433" customWidth="1"/>
    <col min="36" max="36" width="11.7109375" style="14433" customWidth="1"/>
    <col min="37" max="37" width="8.5703125" style="14433" hidden="1" customWidth="1"/>
    <col min="38" max="38" width="4.7109375" style="14433" customWidth="1"/>
    <col min="39" max="39" width="115.7109375" style="14433" customWidth="1"/>
    <col min="40" max="41" width="10.5703125" style="14432"/>
    <col min="42" max="42" width="11.140625" style="14432" customWidth="1"/>
    <col min="43" max="44" width="10.5703125" style="14432"/>
  </cols>
  <sheetData>
    <row r="1" spans="1:44" ht="14.25" hidden="1" customHeight="1"/>
    <row r="2" spans="1:44" ht="21" hidden="1" customHeight="1">
      <c r="A2" s="1149"/>
      <c r="B2" s="1149"/>
      <c r="C2" s="1149"/>
      <c r="D2" s="1149"/>
      <c r="E2" s="16148">
        <v>1</v>
      </c>
      <c r="F2" s="1149"/>
      <c r="G2" s="1149"/>
      <c r="H2" s="1149"/>
      <c r="I2" s="1149"/>
      <c r="J2" s="1149"/>
      <c r="K2" s="1149"/>
      <c r="L2" s="1189"/>
      <c r="M2" s="1476"/>
      <c r="N2" s="1476"/>
      <c r="O2" s="1476"/>
      <c r="P2" s="1458"/>
      <c r="Q2" s="276"/>
      <c r="R2" s="271"/>
      <c r="S2" s="1818" t="e">
        <f>INDEX(PT_DIFFERENTIATION_NUM_NTAR,MATCH(A2,PT_DIFFERENTIATION_NTAR_ID,0))</f>
        <v>#N/A</v>
      </c>
      <c r="T2" s="1396" t="s">
        <v>158</v>
      </c>
      <c r="U2" s="217"/>
      <c r="V2" s="16110"/>
      <c r="W2" s="16111"/>
      <c r="X2" s="16111"/>
      <c r="Y2" s="16111"/>
      <c r="Z2" s="16111"/>
      <c r="AA2" s="16111"/>
      <c r="AB2" s="16111"/>
      <c r="AC2" s="16112"/>
      <c r="AD2" s="16110" t="e">
        <f>INDEX(PT_DIFFERENTIATION_NTAR,MATCH(A2,PT_DIFFERENTIATION_NTAR_ID,0))</f>
        <v>#N/A</v>
      </c>
      <c r="AE2" s="16111"/>
      <c r="AF2" s="16111"/>
      <c r="AG2" s="16111"/>
      <c r="AH2" s="16111"/>
      <c r="AI2" s="16111"/>
      <c r="AJ2" s="16111"/>
      <c r="AK2" s="16111"/>
      <c r="AL2" s="16112"/>
      <c r="AM2" s="1140" t="s">
        <v>533</v>
      </c>
      <c r="AO2" s="1487"/>
      <c r="AP2" s="1487" t="str">
        <f t="shared" ref="AP2:AP15" si="0">IF(T2="","",T2)</f>
        <v>Наименование тарифа</v>
      </c>
      <c r="AQ2" s="1487"/>
      <c r="AR2" s="1487"/>
    </row>
    <row r="3" spans="1:44" ht="21" hidden="1" customHeight="1">
      <c r="A3" s="1149"/>
      <c r="B3" s="1149"/>
      <c r="C3" s="1149"/>
      <c r="D3" s="1149"/>
      <c r="E3" s="16149"/>
      <c r="F3" s="16148">
        <v>1</v>
      </c>
      <c r="G3" s="1149"/>
      <c r="H3" s="1149"/>
      <c r="I3" s="1149"/>
      <c r="J3" s="1149"/>
      <c r="K3" s="1149"/>
      <c r="L3" s="1189"/>
      <c r="M3" s="1476"/>
      <c r="N3" s="1476"/>
      <c r="O3" s="1476"/>
      <c r="P3" s="1800"/>
      <c r="Q3" s="268"/>
      <c r="R3" s="269"/>
      <c r="S3" s="1818" t="e">
        <f>INDEX(PT_DIFFERENTIATION_NUM_TER,MATCH(B3,PT_DIFFERENTIATION_TER_ID,0))</f>
        <v>#N/A</v>
      </c>
      <c r="T3" s="1393" t="s">
        <v>534</v>
      </c>
      <c r="U3" s="217"/>
      <c r="V3" s="16110"/>
      <c r="W3" s="16111"/>
      <c r="X3" s="16111"/>
      <c r="Y3" s="16111"/>
      <c r="Z3" s="16111"/>
      <c r="AA3" s="16111"/>
      <c r="AB3" s="16111"/>
      <c r="AC3" s="16112"/>
      <c r="AD3" s="16110" t="e">
        <f>INDEX(PT_DIFFERENTIATION_TER,MATCH(B3,PT_DIFFERENTIATION_TER_ID,0))</f>
        <v>#N/A</v>
      </c>
      <c r="AE3" s="16111"/>
      <c r="AF3" s="16111"/>
      <c r="AG3" s="16111"/>
      <c r="AH3" s="16111"/>
      <c r="AI3" s="16111"/>
      <c r="AJ3" s="16111"/>
      <c r="AK3" s="16111"/>
      <c r="AL3" s="16112"/>
      <c r="AM3" s="1140" t="s">
        <v>535</v>
      </c>
      <c r="AO3" s="1487"/>
      <c r="AP3" s="1487" t="str">
        <f t="shared" si="0"/>
        <v>Территория действия тарифа</v>
      </c>
      <c r="AQ3" s="1487"/>
      <c r="AR3" s="1487"/>
    </row>
    <row r="4" spans="1:44" ht="23.25" hidden="1" customHeight="1">
      <c r="A4" s="1149"/>
      <c r="B4" s="1149"/>
      <c r="C4" s="1149"/>
      <c r="D4" s="1149"/>
      <c r="E4" s="16149"/>
      <c r="F4" s="16149"/>
      <c r="G4" s="16148">
        <v>1</v>
      </c>
      <c r="H4" s="1149"/>
      <c r="I4" s="1149"/>
      <c r="J4" s="1149"/>
      <c r="K4" s="1149"/>
      <c r="L4" s="1189"/>
      <c r="M4" s="1476"/>
      <c r="N4" s="1476"/>
      <c r="O4" s="1476"/>
      <c r="P4" s="270"/>
      <c r="Q4" s="268"/>
      <c r="R4" s="269"/>
      <c r="S4" s="1818" t="e">
        <f>INDEX(PT_DIFFERENTIATION_NUM_CS,MATCH(C4,PT_DIFFERENTIATION_CS_ID,0))</f>
        <v>#N/A</v>
      </c>
      <c r="T4" s="226" t="s">
        <v>536</v>
      </c>
      <c r="U4" s="217"/>
      <c r="V4" s="16110"/>
      <c r="W4" s="16111"/>
      <c r="X4" s="16111"/>
      <c r="Y4" s="16111"/>
      <c r="Z4" s="16111"/>
      <c r="AA4" s="16111"/>
      <c r="AB4" s="16111"/>
      <c r="AC4" s="16112"/>
      <c r="AD4" s="16110" t="e">
        <f>INDEX(PT_DIFFERENTIATION_CS,MATCH(C4,PT_DIFFERENTIATION_CS_ID,0))</f>
        <v>#N/A</v>
      </c>
      <c r="AE4" s="16111"/>
      <c r="AF4" s="16111"/>
      <c r="AG4" s="16111"/>
      <c r="AH4" s="16111"/>
      <c r="AI4" s="16111"/>
      <c r="AJ4" s="16111"/>
      <c r="AK4" s="16111"/>
      <c r="AL4" s="16112"/>
      <c r="AM4" s="1140" t="s">
        <v>537</v>
      </c>
      <c r="AO4" s="1487"/>
      <c r="AP4" s="1487" t="str">
        <f t="shared" si="0"/>
        <v xml:space="preserve">Наименование системы теплоснабжения </v>
      </c>
      <c r="AQ4" s="1487"/>
      <c r="AR4" s="1487"/>
    </row>
    <row r="5" spans="1:44" ht="21" hidden="1" customHeight="1">
      <c r="A5" s="1149"/>
      <c r="B5" s="1149"/>
      <c r="C5" s="1149"/>
      <c r="D5" s="1149"/>
      <c r="E5" s="16149"/>
      <c r="F5" s="16149"/>
      <c r="G5" s="16149"/>
      <c r="H5" s="16148">
        <v>1</v>
      </c>
      <c r="I5" s="1149"/>
      <c r="J5" s="1149"/>
      <c r="K5" s="1149"/>
      <c r="L5" s="1189"/>
      <c r="M5" s="1476"/>
      <c r="N5" s="1476"/>
      <c r="O5" s="1476"/>
      <c r="P5" s="270"/>
      <c r="Q5" s="268"/>
      <c r="R5" s="269"/>
      <c r="S5" s="1818" t="e">
        <f>INDEX(PT_DIFFERENTIATION_NUM_IST_TE,MATCH(D5,PT_DIFFERENTIATION_IST_TE_ID,0))</f>
        <v>#N/A</v>
      </c>
      <c r="T5" s="227" t="s">
        <v>538</v>
      </c>
      <c r="U5" s="217"/>
      <c r="V5" s="16110"/>
      <c r="W5" s="16111"/>
      <c r="X5" s="16111"/>
      <c r="Y5" s="16111"/>
      <c r="Z5" s="16111"/>
      <c r="AA5" s="16111"/>
      <c r="AB5" s="16111"/>
      <c r="AC5" s="16112"/>
      <c r="AD5" s="16110" t="e">
        <f>INDEX(PT_DIFFERENTIATION_IST_TE,MATCH(D5,PT_DIFFERENTIATION_IST_TE_ID,0))</f>
        <v>#N/A</v>
      </c>
      <c r="AE5" s="16111"/>
      <c r="AF5" s="16111"/>
      <c r="AG5" s="16111"/>
      <c r="AH5" s="16111"/>
      <c r="AI5" s="16111"/>
      <c r="AJ5" s="16111"/>
      <c r="AK5" s="16111"/>
      <c r="AL5" s="16112"/>
      <c r="AM5" s="1140" t="s">
        <v>539</v>
      </c>
      <c r="AO5" s="1487"/>
      <c r="AP5" s="1487" t="str">
        <f t="shared" si="0"/>
        <v xml:space="preserve">Источник тепловой энергии  </v>
      </c>
      <c r="AQ5" s="1487"/>
      <c r="AR5" s="1487"/>
    </row>
    <row r="6" spans="1:44" ht="47.25" hidden="1" customHeight="1">
      <c r="A6" s="1149"/>
      <c r="B6" s="1149"/>
      <c r="C6" s="1149"/>
      <c r="D6" s="1149"/>
      <c r="E6" s="16149"/>
      <c r="F6" s="16149"/>
      <c r="G6" s="16149"/>
      <c r="H6" s="16149"/>
      <c r="I6" s="15992" t="e">
        <f>S5&amp;".1"</f>
        <v>#N/A</v>
      </c>
      <c r="J6" s="1149"/>
      <c r="K6" s="1149"/>
      <c r="L6" s="1189" t="s">
        <v>540</v>
      </c>
      <c r="M6" s="1498"/>
      <c r="P6" s="16123">
        <v>1</v>
      </c>
      <c r="Q6" s="1814"/>
      <c r="R6" s="272"/>
      <c r="S6" s="1818" t="e">
        <f>$I6</f>
        <v>#N/A</v>
      </c>
      <c r="T6" s="202" t="s">
        <v>541</v>
      </c>
      <c r="U6" s="217"/>
      <c r="V6" s="16113"/>
      <c r="W6" s="16114"/>
      <c r="X6" s="16114"/>
      <c r="Y6" s="16114"/>
      <c r="Z6" s="16114"/>
      <c r="AA6" s="16114"/>
      <c r="AB6" s="16114"/>
      <c r="AC6" s="16115"/>
      <c r="AD6" s="16113"/>
      <c r="AE6" s="16114"/>
      <c r="AF6" s="16114"/>
      <c r="AG6" s="16114"/>
      <c r="AH6" s="16114"/>
      <c r="AI6" s="16114"/>
      <c r="AJ6" s="16114"/>
      <c r="AK6" s="16114"/>
      <c r="AL6" s="16115"/>
      <c r="AM6" s="1140" t="s">
        <v>542</v>
      </c>
      <c r="AO6" s="1487"/>
      <c r="AP6" s="1487" t="str">
        <f t="shared" si="0"/>
        <v>Схема подключения теплопотребляющей установки к коллектору источника тепловой энергии</v>
      </c>
      <c r="AQ6" s="1487"/>
      <c r="AR6" s="1487"/>
    </row>
    <row r="7" spans="1:44" ht="21" hidden="1" customHeight="1">
      <c r="A7" s="1149"/>
      <c r="B7" s="1149"/>
      <c r="C7" s="1149"/>
      <c r="D7" s="1149"/>
      <c r="E7" s="16149"/>
      <c r="F7" s="16149"/>
      <c r="G7" s="16149"/>
      <c r="H7" s="16149"/>
      <c r="I7" s="15963"/>
      <c r="J7" s="15992" t="e">
        <f>I6&amp;".1"</f>
        <v>#N/A</v>
      </c>
      <c r="K7" s="1149"/>
      <c r="L7" s="1189" t="s">
        <v>543</v>
      </c>
      <c r="M7" s="1498"/>
      <c r="N7" s="1494"/>
      <c r="P7" s="16123"/>
      <c r="Q7" s="16123">
        <v>1</v>
      </c>
      <c r="R7" s="273"/>
      <c r="S7" s="1818" t="e">
        <f>$J7</f>
        <v>#N/A</v>
      </c>
      <c r="T7" s="203" t="s">
        <v>544</v>
      </c>
      <c r="U7" s="217"/>
      <c r="V7" s="16113"/>
      <c r="W7" s="16114"/>
      <c r="X7" s="16114"/>
      <c r="Y7" s="16114"/>
      <c r="Z7" s="16114"/>
      <c r="AA7" s="16114"/>
      <c r="AB7" s="16114"/>
      <c r="AC7" s="16115"/>
      <c r="AD7" s="16113"/>
      <c r="AE7" s="16114"/>
      <c r="AF7" s="16114"/>
      <c r="AG7" s="16114"/>
      <c r="AH7" s="16114"/>
      <c r="AI7" s="16114"/>
      <c r="AJ7" s="16114"/>
      <c r="AK7" s="16114"/>
      <c r="AL7" s="16115"/>
      <c r="AM7" s="1140" t="s">
        <v>545</v>
      </c>
      <c r="AO7" s="1487"/>
      <c r="AP7" s="1487" t="str">
        <f t="shared" si="0"/>
        <v>Группа потребителей</v>
      </c>
      <c r="AQ7" s="1487"/>
      <c r="AR7" s="1487"/>
    </row>
    <row r="8" spans="1:44" ht="21" hidden="1" customHeight="1">
      <c r="A8" s="1149"/>
      <c r="B8" s="1149"/>
      <c r="C8" s="1149"/>
      <c r="D8" s="1149"/>
      <c r="E8" s="16149"/>
      <c r="F8" s="16149"/>
      <c r="G8" s="16149"/>
      <c r="H8" s="16149"/>
      <c r="I8" s="15963"/>
      <c r="J8" s="15963"/>
      <c r="K8" s="15992" t="e">
        <f>J7&amp;".1"</f>
        <v>#N/A</v>
      </c>
      <c r="L8" s="1189" t="s">
        <v>546</v>
      </c>
      <c r="M8" s="1498"/>
      <c r="N8" s="1494"/>
      <c r="O8" s="1494"/>
      <c r="P8" s="16123"/>
      <c r="Q8" s="16123"/>
      <c r="R8" s="273">
        <v>1</v>
      </c>
      <c r="S8" s="1818" t="e">
        <f>$K8</f>
        <v>#N/A</v>
      </c>
      <c r="T8" s="1225"/>
      <c r="U8" s="217"/>
      <c r="V8" s="649"/>
      <c r="W8" s="242"/>
      <c r="X8" s="649"/>
      <c r="Y8" s="1139"/>
      <c r="Z8" s="16127"/>
      <c r="AA8" s="15973" t="s">
        <v>66</v>
      </c>
      <c r="AB8" s="16127"/>
      <c r="AC8" s="15973" t="s">
        <v>66</v>
      </c>
      <c r="AD8" s="649"/>
      <c r="AE8" s="242"/>
      <c r="AF8" s="649"/>
      <c r="AG8" s="1139"/>
      <c r="AH8" s="16127"/>
      <c r="AI8" s="15973" t="s">
        <v>66</v>
      </c>
      <c r="AJ8" s="16127"/>
      <c r="AK8" s="15973" t="s">
        <v>66</v>
      </c>
      <c r="AL8" s="242"/>
      <c r="AM8" s="16119" t="s">
        <v>547</v>
      </c>
      <c r="AN8" s="1499" t="e">
        <f ca="1">STRCHECKDATE(V9:AL9)</f>
        <v>#NAME?</v>
      </c>
      <c r="AO8" s="1487"/>
      <c r="AP8" s="1487" t="str">
        <f t="shared" si="0"/>
        <v/>
      </c>
      <c r="AQ8" s="1487"/>
      <c r="AR8" s="1487"/>
    </row>
    <row r="9" spans="1:44" ht="0.75" hidden="1" customHeight="1">
      <c r="A9" s="1149"/>
      <c r="B9" s="1149"/>
      <c r="C9" s="1149"/>
      <c r="D9" s="1149"/>
      <c r="E9" s="16149"/>
      <c r="F9" s="16149"/>
      <c r="G9" s="16149"/>
      <c r="H9" s="16149"/>
      <c r="I9" s="15963"/>
      <c r="J9" s="15963"/>
      <c r="K9" s="15992"/>
      <c r="L9" s="1189"/>
      <c r="M9" s="1498"/>
      <c r="N9" s="1494"/>
      <c r="O9" s="1494"/>
      <c r="P9" s="16123"/>
      <c r="Q9" s="16123"/>
      <c r="R9" s="273"/>
      <c r="S9" s="1827"/>
      <c r="T9" s="217"/>
      <c r="U9" s="217"/>
      <c r="V9" s="242"/>
      <c r="W9" s="242"/>
      <c r="X9" s="242"/>
      <c r="Y9" s="245" t="str">
        <f>Z8&amp;"-"&amp;AB8</f>
        <v>-</v>
      </c>
      <c r="Z9" s="16128"/>
      <c r="AA9" s="15973"/>
      <c r="AB9" s="16128"/>
      <c r="AC9" s="15973"/>
      <c r="AD9" s="242"/>
      <c r="AE9" s="242"/>
      <c r="AF9" s="242"/>
      <c r="AG9" s="245" t="str">
        <f>AH8&amp;"-"&amp;AJ8</f>
        <v>-</v>
      </c>
      <c r="AH9" s="16128"/>
      <c r="AI9" s="15973"/>
      <c r="AJ9" s="16128"/>
      <c r="AK9" s="15973"/>
      <c r="AL9" s="242"/>
      <c r="AM9" s="16120"/>
      <c r="AO9" s="1487"/>
      <c r="AP9" s="1487" t="str">
        <f t="shared" si="0"/>
        <v/>
      </c>
      <c r="AQ9" s="1487"/>
      <c r="AR9" s="1487"/>
    </row>
    <row r="10" spans="1:44" ht="15" hidden="1" customHeight="1">
      <c r="A10" s="1149"/>
      <c r="B10" s="1149"/>
      <c r="C10" s="1149"/>
      <c r="D10" s="1149"/>
      <c r="E10" s="16149"/>
      <c r="F10" s="16149"/>
      <c r="G10" s="16149"/>
      <c r="H10" s="16149"/>
      <c r="I10" s="15963"/>
      <c r="J10" s="15992"/>
      <c r="K10" s="1149"/>
      <c r="L10" s="1189"/>
      <c r="M10" s="1498"/>
      <c r="N10" s="1494"/>
      <c r="P10" s="16123"/>
      <c r="Q10" s="16123"/>
      <c r="R10" s="272"/>
      <c r="S10" s="1160"/>
      <c r="T10" s="205" t="s">
        <v>548</v>
      </c>
      <c r="U10" s="503"/>
      <c r="V10" s="503"/>
      <c r="W10" s="503"/>
      <c r="X10" s="503"/>
      <c r="Y10" s="503"/>
      <c r="Z10" s="503"/>
      <c r="AA10" s="503"/>
      <c r="AB10" s="503"/>
      <c r="AC10" s="503"/>
      <c r="AD10" s="503"/>
      <c r="AE10" s="503"/>
      <c r="AF10" s="503"/>
      <c r="AG10" s="503"/>
      <c r="AH10" s="503"/>
      <c r="AI10" s="503"/>
      <c r="AJ10" s="503"/>
      <c r="AK10" s="503"/>
      <c r="AL10" s="241"/>
      <c r="AM10" s="16121"/>
      <c r="AO10" s="1487"/>
      <c r="AP10" s="1487" t="str">
        <f t="shared" si="0"/>
        <v>Добавить вид теплоносителя (параметры теплоносителя)</v>
      </c>
      <c r="AQ10" s="1487"/>
      <c r="AR10" s="1487"/>
    </row>
    <row r="11" spans="1:44" ht="15" hidden="1" customHeight="1">
      <c r="A11" s="1149"/>
      <c r="B11" s="1149"/>
      <c r="C11" s="1149"/>
      <c r="D11" s="1149"/>
      <c r="E11" s="16149"/>
      <c r="F11" s="16149"/>
      <c r="G11" s="16149"/>
      <c r="H11" s="16149"/>
      <c r="I11" s="15992"/>
      <c r="J11" s="1149"/>
      <c r="K11" s="1149"/>
      <c r="L11" s="1189"/>
      <c r="M11" s="1498"/>
      <c r="P11" s="16123"/>
      <c r="Q11" s="1814"/>
      <c r="R11" s="272"/>
      <c r="S11" s="1160"/>
      <c r="T11" s="204" t="s">
        <v>549</v>
      </c>
      <c r="U11" s="503"/>
      <c r="V11" s="503"/>
      <c r="W11" s="503"/>
      <c r="X11" s="503"/>
      <c r="Y11" s="503"/>
      <c r="Z11" s="503"/>
      <c r="AA11" s="503"/>
      <c r="AB11" s="503"/>
      <c r="AC11" s="281"/>
      <c r="AD11" s="503"/>
      <c r="AE11" s="503"/>
      <c r="AF11" s="503"/>
      <c r="AG11" s="503"/>
      <c r="AH11" s="503"/>
      <c r="AI11" s="503"/>
      <c r="AJ11" s="503"/>
      <c r="AK11" s="281"/>
      <c r="AL11" s="503"/>
      <c r="AM11" s="220"/>
      <c r="AO11" s="1487"/>
      <c r="AP11" s="1487" t="str">
        <f t="shared" si="0"/>
        <v>Добавить группу потребителей</v>
      </c>
      <c r="AQ11" s="1487"/>
      <c r="AR11" s="1487"/>
    </row>
    <row r="12" spans="1:44" ht="14.25" hidden="1" customHeight="1">
      <c r="A12" s="1149"/>
      <c r="B12" s="1149"/>
      <c r="C12" s="1149"/>
      <c r="D12" s="1149"/>
      <c r="E12" s="16149"/>
      <c r="F12" s="16149"/>
      <c r="G12" s="16149"/>
      <c r="H12" s="16148"/>
      <c r="I12" s="1149"/>
      <c r="J12" s="1149"/>
      <c r="K12" s="1149"/>
      <c r="L12" s="1189"/>
      <c r="M12" s="1476"/>
      <c r="N12" s="1476"/>
      <c r="O12" s="1498"/>
      <c r="P12" s="276"/>
      <c r="Q12" s="290"/>
      <c r="R12" s="271"/>
      <c r="S12" s="1160"/>
      <c r="T12" s="280" t="s">
        <v>550</v>
      </c>
      <c r="U12" s="503"/>
      <c r="V12" s="503"/>
      <c r="W12" s="503"/>
      <c r="X12" s="503"/>
      <c r="Y12" s="503"/>
      <c r="Z12" s="503"/>
      <c r="AA12" s="503"/>
      <c r="AB12" s="503"/>
      <c r="AC12" s="281"/>
      <c r="AD12" s="503"/>
      <c r="AE12" s="503"/>
      <c r="AF12" s="503"/>
      <c r="AG12" s="503"/>
      <c r="AH12" s="503"/>
      <c r="AI12" s="503"/>
      <c r="AJ12" s="503"/>
      <c r="AK12" s="281"/>
      <c r="AL12" s="503"/>
      <c r="AM12" s="220"/>
      <c r="AO12" s="1487"/>
      <c r="AP12" s="1487" t="str">
        <f t="shared" si="0"/>
        <v>Добавить схему подключения</v>
      </c>
      <c r="AQ12" s="1487"/>
      <c r="AR12" s="1487"/>
    </row>
    <row r="13" spans="1:44" s="14429" customFormat="1" ht="0.75" hidden="1" customHeight="1">
      <c r="A13" s="1835"/>
      <c r="B13" s="1835"/>
      <c r="C13" s="1835"/>
      <c r="D13" s="1835"/>
      <c r="E13" s="16149"/>
      <c r="F13" s="16149"/>
      <c r="G13" s="16148"/>
      <c r="H13" s="1835"/>
      <c r="I13" s="1835"/>
      <c r="J13" s="1835"/>
      <c r="K13" s="1835"/>
      <c r="L13" s="1257"/>
      <c r="M13" s="1476"/>
      <c r="N13" s="1476"/>
      <c r="O13" s="1498"/>
      <c r="P13" s="1195"/>
      <c r="Q13" s="1196"/>
      <c r="R13" s="1195"/>
      <c r="S13" s="1197"/>
      <c r="T13" s="1198" t="s">
        <v>551</v>
      </c>
      <c r="U13" s="1199"/>
      <c r="V13" s="1199"/>
      <c r="W13" s="1199"/>
      <c r="X13" s="1199"/>
      <c r="Y13" s="1199"/>
      <c r="Z13" s="1199"/>
      <c r="AA13" s="1199"/>
      <c r="AB13" s="1199"/>
      <c r="AC13" s="1199"/>
      <c r="AD13" s="1199"/>
      <c r="AE13" s="1199"/>
      <c r="AF13" s="1199"/>
      <c r="AG13" s="1199"/>
      <c r="AH13" s="1199"/>
      <c r="AI13" s="1199"/>
      <c r="AJ13" s="1199"/>
      <c r="AK13" s="1199"/>
      <c r="AL13" s="1199"/>
      <c r="AM13" s="1199"/>
      <c r="AO13" s="1133"/>
      <c r="AP13" s="1133" t="str">
        <f t="shared" si="0"/>
        <v>Добавить источник для дифференциации</v>
      </c>
      <c r="AQ13" s="1133"/>
      <c r="AR13" s="1133"/>
    </row>
    <row r="14" spans="1:44" s="14429" customFormat="1" ht="0.75" hidden="1" customHeight="1">
      <c r="A14" s="1835"/>
      <c r="B14" s="1835"/>
      <c r="C14" s="1835"/>
      <c r="D14" s="1835"/>
      <c r="E14" s="16149"/>
      <c r="F14" s="16148"/>
      <c r="G14" s="1835"/>
      <c r="H14" s="1835"/>
      <c r="I14" s="1835"/>
      <c r="J14" s="1835"/>
      <c r="K14" s="1835"/>
      <c r="L14" s="1257"/>
      <c r="M14" s="1836"/>
      <c r="N14" s="1836"/>
      <c r="O14" s="1498"/>
      <c r="P14" s="1195"/>
      <c r="Q14" s="1196"/>
      <c r="R14" s="1195"/>
      <c r="S14" s="1201"/>
      <c r="T14" s="1202" t="s">
        <v>290</v>
      </c>
      <c r="U14" s="1203"/>
      <c r="V14" s="1203"/>
      <c r="W14" s="1203"/>
      <c r="X14" s="1203"/>
      <c r="Y14" s="1203"/>
      <c r="Z14" s="1203"/>
      <c r="AA14" s="1203"/>
      <c r="AB14" s="1203"/>
      <c r="AC14" s="1203"/>
      <c r="AD14" s="1203"/>
      <c r="AE14" s="1203"/>
      <c r="AF14" s="1203"/>
      <c r="AG14" s="1203"/>
      <c r="AH14" s="1203"/>
      <c r="AI14" s="1203"/>
      <c r="AJ14" s="1203"/>
      <c r="AK14" s="1203"/>
      <c r="AL14" s="1203"/>
      <c r="AM14" s="1203"/>
      <c r="AO14" s="1133"/>
      <c r="AP14" s="1133" t="str">
        <f t="shared" si="0"/>
        <v>Добавить централизованную систему для дифференциации</v>
      </c>
      <c r="AQ14" s="1133"/>
      <c r="AR14" s="1133"/>
    </row>
    <row r="15" spans="1:44" s="14429" customFormat="1" ht="0.75" hidden="1" customHeight="1">
      <c r="A15" s="1835"/>
      <c r="B15" s="1835"/>
      <c r="C15" s="1835"/>
      <c r="D15" s="1835"/>
      <c r="E15" s="16148"/>
      <c r="F15" s="1835"/>
      <c r="G15" s="1835"/>
      <c r="H15" s="1835"/>
      <c r="I15" s="1835"/>
      <c r="J15" s="1835"/>
      <c r="K15" s="1835"/>
      <c r="L15" s="1257"/>
      <c r="M15" s="1836"/>
      <c r="N15" s="1836"/>
      <c r="O15" s="1498"/>
      <c r="P15" s="1195"/>
      <c r="Q15" s="1196"/>
      <c r="R15" s="1195"/>
      <c r="S15" s="1201"/>
      <c r="T15" s="1204" t="s">
        <v>326</v>
      </c>
      <c r="U15" s="1203"/>
      <c r="V15" s="1203"/>
      <c r="W15" s="1203"/>
      <c r="X15" s="1203"/>
      <c r="Y15" s="1203"/>
      <c r="Z15" s="1203"/>
      <c r="AA15" s="1203"/>
      <c r="AB15" s="1203"/>
      <c r="AC15" s="1203"/>
      <c r="AD15" s="1203"/>
      <c r="AE15" s="1203"/>
      <c r="AF15" s="1203"/>
      <c r="AG15" s="1203"/>
      <c r="AH15" s="1203"/>
      <c r="AI15" s="1203"/>
      <c r="AJ15" s="1203"/>
      <c r="AK15" s="1203"/>
      <c r="AL15" s="1203"/>
      <c r="AM15" s="1203"/>
      <c r="AO15" s="1133"/>
      <c r="AP15" s="1133" t="str">
        <f t="shared" si="0"/>
        <v>Добавить территорию для дифференциации</v>
      </c>
      <c r="AQ15" s="1133"/>
      <c r="AR15" s="1133"/>
    </row>
    <row r="16" spans="1:44" ht="14.25" hidden="1" customHeight="1"/>
    <row r="17" spans="1:44" ht="14.25" hidden="1" customHeight="1">
      <c r="AD17" s="1237"/>
      <c r="AE17" s="1237"/>
      <c r="AF17" s="1237"/>
      <c r="AG17" s="1238"/>
      <c r="AH17" s="16129"/>
      <c r="AI17" s="16130" t="s">
        <v>66</v>
      </c>
      <c r="AJ17" s="16129"/>
      <c r="AK17" s="16130" t="s">
        <v>66</v>
      </c>
    </row>
    <row r="18" spans="1:44" ht="14.25" hidden="1" customHeight="1">
      <c r="AD18" s="1237"/>
      <c r="AE18" s="1237"/>
      <c r="AF18" s="1237"/>
      <c r="AG18" s="245" t="str">
        <f>AH17&amp;"-"&amp;AJ17</f>
        <v>-</v>
      </c>
      <c r="AH18" s="16130"/>
      <c r="AI18" s="16130"/>
      <c r="AJ18" s="16130"/>
      <c r="AK18" s="16130"/>
    </row>
    <row r="19" spans="1:44" ht="14.25" hidden="1" customHeight="1"/>
    <row r="20" spans="1:44" s="14430" customFormat="1" ht="14.25" hidden="1" customHeight="1">
      <c r="A20" s="1494"/>
      <c r="B20" s="1494"/>
      <c r="C20" s="1494"/>
      <c r="D20" s="1494"/>
      <c r="E20" s="1494"/>
      <c r="F20" s="1494"/>
      <c r="G20" s="1494"/>
      <c r="H20" s="1494"/>
      <c r="I20" s="1494"/>
      <c r="J20" s="1494"/>
      <c r="K20" s="1494"/>
      <c r="L20" s="1799"/>
      <c r="M20" s="1825"/>
      <c r="N20" s="1825"/>
      <c r="O20" s="1223" t="s">
        <v>552</v>
      </c>
      <c r="P20" s="1239"/>
      <c r="Q20" s="1248"/>
      <c r="R20" s="1248"/>
      <c r="S20" s="629"/>
      <c r="Z20" s="1244"/>
      <c r="AB20" s="1244"/>
      <c r="AH20" s="1244"/>
      <c r="AJ20" s="1244"/>
      <c r="AN20" s="1499"/>
      <c r="AO20" s="1499"/>
      <c r="AP20" s="1499"/>
      <c r="AQ20" s="1499"/>
      <c r="AR20" s="1499"/>
    </row>
    <row r="21" spans="1:44" s="14430" customFormat="1" ht="14.25" hidden="1" customHeight="1">
      <c r="A21" s="1494"/>
      <c r="B21" s="1494"/>
      <c r="C21" s="1494"/>
      <c r="D21" s="1494"/>
      <c r="E21" s="1494"/>
      <c r="F21" s="1494"/>
      <c r="G21" s="1494"/>
      <c r="H21" s="1494"/>
      <c r="I21" s="1494"/>
      <c r="J21" s="1494"/>
      <c r="K21" s="1494"/>
      <c r="L21" s="1799"/>
      <c r="M21" s="1825"/>
      <c r="N21" s="1825"/>
      <c r="O21" s="1825"/>
      <c r="P21" s="1239"/>
      <c r="Q21" s="1248"/>
      <c r="R21" s="1248"/>
      <c r="S21" s="629"/>
      <c r="AN21" s="1499"/>
      <c r="AO21" s="1499"/>
      <c r="AP21" s="1499"/>
      <c r="AQ21" s="1499"/>
      <c r="AR21" s="1499"/>
    </row>
    <row r="22" spans="1:44" s="14430" customFormat="1" ht="14.25" hidden="1" customHeight="1">
      <c r="A22" s="1494"/>
      <c r="B22" s="1494"/>
      <c r="C22" s="1494"/>
      <c r="D22" s="1494"/>
      <c r="E22" s="1494"/>
      <c r="F22" s="1494"/>
      <c r="G22" s="1494"/>
      <c r="H22" s="1494"/>
      <c r="I22" s="1494"/>
      <c r="J22" s="1494"/>
      <c r="K22" s="1494"/>
      <c r="L22" s="1799"/>
      <c r="M22" s="1825"/>
      <c r="N22" s="1825"/>
      <c r="O22" s="1189" t="s">
        <v>553</v>
      </c>
      <c r="P22" s="1239"/>
      <c r="Q22" s="1248"/>
      <c r="R22" s="1248"/>
      <c r="S22" s="629"/>
      <c r="T22" s="1243" t="s">
        <v>554</v>
      </c>
      <c r="AA22" s="499" t="s">
        <v>555</v>
      </c>
      <c r="AC22" s="499" t="s">
        <v>556</v>
      </c>
      <c r="AD22" s="1243" t="s">
        <v>554</v>
      </c>
      <c r="AI22" s="499" t="s">
        <v>557</v>
      </c>
      <c r="AK22" s="499" t="s">
        <v>556</v>
      </c>
      <c r="AN22" s="1499"/>
      <c r="AO22" s="1499"/>
      <c r="AP22" s="1499"/>
      <c r="AQ22" s="1499"/>
      <c r="AR22" s="1499"/>
    </row>
    <row r="23" spans="1:44" ht="14.25" hidden="1" customHeight="1">
      <c r="O23" s="1189"/>
    </row>
    <row r="24" spans="1:44" ht="14.25" hidden="1" customHeight="1">
      <c r="O24" s="1189"/>
    </row>
    <row r="25" spans="1:44" ht="14.25" customHeight="1">
      <c r="Q25" s="291"/>
      <c r="R25" s="291"/>
      <c r="S25" s="1157"/>
      <c r="T25" s="366"/>
      <c r="U25" s="366"/>
      <c r="V25" s="1498"/>
      <c r="W25" s="1498"/>
      <c r="X25" s="1498"/>
      <c r="Y25" s="1498"/>
      <c r="Z25" s="1498"/>
      <c r="AA25" s="1498"/>
      <c r="AB25" s="1498"/>
      <c r="AC25" s="1498"/>
      <c r="AD25" s="1498"/>
      <c r="AE25" s="1498"/>
      <c r="AF25" s="1498"/>
      <c r="AG25" s="1498"/>
      <c r="AH25" s="1498"/>
      <c r="AI25" s="1498"/>
      <c r="AJ25" s="1498"/>
      <c r="AK25" s="1498"/>
    </row>
    <row r="26" spans="1:44" ht="14.25" customHeight="1">
      <c r="Q26" s="291"/>
      <c r="R26" s="291"/>
      <c r="S26" s="161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6108"/>
      <c r="U26" s="16108"/>
      <c r="V26" s="16108"/>
      <c r="W26" s="16108"/>
      <c r="X26" s="16108"/>
      <c r="Y26" s="16108"/>
      <c r="Z26" s="16108"/>
      <c r="AA26" s="16108"/>
      <c r="AB26" s="16108"/>
      <c r="AC26" s="16108"/>
      <c r="AD26" s="16108"/>
      <c r="AE26" s="16108"/>
      <c r="AF26" s="16108"/>
      <c r="AG26" s="16108"/>
      <c r="AH26" s="16108"/>
      <c r="AI26" s="16108"/>
      <c r="AJ26" s="16108"/>
      <c r="AK26" s="1125"/>
    </row>
    <row r="27" spans="1:44" ht="14.25" customHeight="1">
      <c r="Q27" s="291"/>
      <c r="R27" s="291"/>
      <c r="S27" s="16056" t="str">
        <f>IF(org=0,"Не определено",org)</f>
        <v>АО "Мурманэнергосбыт"</v>
      </c>
      <c r="T27" s="16056"/>
      <c r="U27" s="16056"/>
      <c r="V27" s="16056"/>
      <c r="W27" s="16056"/>
      <c r="X27" s="16056"/>
      <c r="Y27" s="16056"/>
      <c r="Z27" s="16056"/>
      <c r="AA27" s="16056"/>
      <c r="AB27" s="16056"/>
      <c r="AC27" s="16056"/>
      <c r="AD27" s="16056"/>
      <c r="AE27" s="16056"/>
      <c r="AF27" s="16056"/>
      <c r="AG27" s="16056"/>
      <c r="AH27" s="16056"/>
      <c r="AI27" s="16056"/>
      <c r="AJ27" s="16056"/>
      <c r="AK27" s="1125"/>
    </row>
    <row r="28" spans="1:44" ht="14.25" hidden="1" customHeight="1">
      <c r="Q28" s="291"/>
      <c r="R28" s="291"/>
      <c r="S28" s="1157"/>
      <c r="T28" s="366"/>
      <c r="U28" s="366"/>
      <c r="V28" s="239"/>
      <c r="W28" s="239"/>
      <c r="X28" s="239"/>
      <c r="Y28" s="239"/>
      <c r="Z28" s="239"/>
      <c r="AA28" s="239"/>
      <c r="AB28" s="239"/>
      <c r="AC28" s="239"/>
      <c r="AD28" s="239"/>
      <c r="AE28" s="239"/>
      <c r="AF28" s="239"/>
      <c r="AG28" s="239"/>
      <c r="AH28" s="239"/>
      <c r="AI28" s="239"/>
      <c r="AJ28" s="239"/>
      <c r="AK28" s="239"/>
      <c r="AL28" s="1498"/>
    </row>
    <row r="29" spans="1:44" s="14420" customFormat="1" ht="25.5" hidden="1" customHeight="1">
      <c r="A29" s="1130"/>
      <c r="B29" s="1130"/>
      <c r="C29" s="1130"/>
      <c r="D29" s="1130"/>
      <c r="E29" s="1130"/>
      <c r="F29" s="1130"/>
      <c r="G29" s="1130"/>
      <c r="H29" s="1130"/>
      <c r="I29" s="1130"/>
      <c r="J29" s="1130"/>
      <c r="K29" s="1130"/>
      <c r="L29" s="1257"/>
      <c r="M29" s="1130"/>
      <c r="N29" s="1130"/>
      <c r="O29" s="1130"/>
      <c r="S29" s="16116" t="s">
        <v>38</v>
      </c>
      <c r="T29" s="16116"/>
      <c r="U29" s="1249"/>
      <c r="V29" s="16117" t="str">
        <f>IF(TITLE_NAME_OR_PR_CHANGE="",IF(TITLE_NAME_OR_PR="","",TITLE_NAME_OR_PR),TITLE_NAME_OR_PR_CHANGE)</f>
        <v>Комитет по тарифному регулированию Мурманской области</v>
      </c>
      <c r="W29" s="16117"/>
      <c r="X29" s="16117"/>
      <c r="Y29" s="16117"/>
      <c r="Z29" s="16117"/>
      <c r="AA29" s="16117"/>
      <c r="AB29" s="16117"/>
      <c r="AC29" s="1498"/>
      <c r="AD29" s="16117" t="str">
        <f>IF(TITLE_NAME_OR_PR_CHANGE="",IF(TITLE_NAME_OR_PR="","",TITLE_NAME_OR_PR),TITLE_NAME_OR_PR_CHANGE)</f>
        <v>Комитет по тарифному регулированию Мурманской области</v>
      </c>
      <c r="AE29" s="16117"/>
      <c r="AF29" s="16117"/>
      <c r="AG29" s="16117"/>
      <c r="AH29" s="16117"/>
      <c r="AI29" s="16117"/>
      <c r="AJ29" s="16117"/>
      <c r="AK29" s="1498"/>
      <c r="AL29" s="1498"/>
      <c r="AM29" s="198"/>
      <c r="AN29" s="283"/>
      <c r="AO29" s="283"/>
      <c r="AP29" s="283"/>
      <c r="AQ29" s="283"/>
      <c r="AR29" s="283"/>
    </row>
    <row r="30" spans="1:44" s="14420" customFormat="1" ht="18.75" hidden="1" customHeight="1">
      <c r="A30" s="1130"/>
      <c r="B30" s="1130"/>
      <c r="C30" s="1130"/>
      <c r="D30" s="1130"/>
      <c r="E30" s="1130"/>
      <c r="F30" s="1130"/>
      <c r="G30" s="1130"/>
      <c r="H30" s="1130"/>
      <c r="I30" s="1130"/>
      <c r="J30" s="1130"/>
      <c r="K30" s="1130"/>
      <c r="L30" s="1257"/>
      <c r="M30" s="1130"/>
      <c r="N30" s="1130"/>
      <c r="O30" s="1130"/>
      <c r="S30" s="16116" t="s">
        <v>558</v>
      </c>
      <c r="T30" s="16116"/>
      <c r="U30" s="1249"/>
      <c r="V30" s="16126">
        <f>IF(TITLE_DATE_PR_CHANGE="",IF(TITLE_DATE_PR="","",TITLE_DATE_PR),TITLE_DATE_PR_CHANGE)</f>
        <v>45379</v>
      </c>
      <c r="W30" s="16126"/>
      <c r="X30" s="16126"/>
      <c r="Y30" s="16126"/>
      <c r="Z30" s="16126"/>
      <c r="AA30" s="16126"/>
      <c r="AB30" s="16126"/>
      <c r="AC30" s="1498"/>
      <c r="AD30" s="16126">
        <f>IF(TITLE_DATE_PR_CHANGE="",IF(TITLE_DATE_PR="","",TITLE_DATE_PR),TITLE_DATE_PR_CHANGE)</f>
        <v>45379</v>
      </c>
      <c r="AE30" s="16126"/>
      <c r="AF30" s="16126"/>
      <c r="AG30" s="16126"/>
      <c r="AH30" s="16126"/>
      <c r="AI30" s="16126"/>
      <c r="AJ30" s="16126"/>
      <c r="AK30" s="1498"/>
      <c r="AL30" s="1498"/>
      <c r="AM30" s="198"/>
      <c r="AN30" s="283"/>
      <c r="AO30" s="283"/>
      <c r="AP30" s="283"/>
      <c r="AQ30" s="283"/>
      <c r="AR30" s="283"/>
    </row>
    <row r="31" spans="1:44" s="14420" customFormat="1" ht="18.75" hidden="1" customHeight="1">
      <c r="A31" s="1130"/>
      <c r="B31" s="1130"/>
      <c r="C31" s="1130"/>
      <c r="D31" s="1130"/>
      <c r="E31" s="1130"/>
      <c r="F31" s="1130"/>
      <c r="G31" s="1130"/>
      <c r="H31" s="1130"/>
      <c r="I31" s="1130"/>
      <c r="J31" s="1130"/>
      <c r="K31" s="1130"/>
      <c r="L31" s="1257"/>
      <c r="M31" s="1130"/>
      <c r="N31" s="1130"/>
      <c r="O31" s="1130"/>
      <c r="S31" s="16116" t="s">
        <v>559</v>
      </c>
      <c r="T31" s="16116"/>
      <c r="U31" s="1249"/>
      <c r="V31" s="16117" t="str">
        <f>IF(TITLE_NUMBER_PR_CHANGE="",IF(TITLE_NUMBER_PR="","",TITLE_NUMBER_PR),TITLE_NUMBER_PR_CHANGE)</f>
        <v>8/6</v>
      </c>
      <c r="W31" s="16117"/>
      <c r="X31" s="16117"/>
      <c r="Y31" s="16117"/>
      <c r="Z31" s="16117"/>
      <c r="AA31" s="16117"/>
      <c r="AB31" s="16117"/>
      <c r="AC31" s="1498"/>
      <c r="AD31" s="16117" t="str">
        <f>IF(TITLE_NUMBER_PR_CHANGE="",IF(TITLE_NUMBER_PR="","",TITLE_NUMBER_PR),TITLE_NUMBER_PR_CHANGE)</f>
        <v>8/6</v>
      </c>
      <c r="AE31" s="16117"/>
      <c r="AF31" s="16117"/>
      <c r="AG31" s="16117"/>
      <c r="AH31" s="16117"/>
      <c r="AI31" s="16117"/>
      <c r="AJ31" s="16117"/>
      <c r="AK31" s="1498"/>
      <c r="AL31" s="1498"/>
      <c r="AM31" s="198"/>
      <c r="AN31" s="283"/>
      <c r="AO31" s="283"/>
      <c r="AP31" s="283"/>
      <c r="AQ31" s="283"/>
      <c r="AR31" s="283"/>
    </row>
    <row r="32" spans="1:44" s="14420" customFormat="1" ht="18.75" hidden="1" customHeight="1">
      <c r="A32" s="1130"/>
      <c r="B32" s="1130"/>
      <c r="C32" s="1130"/>
      <c r="D32" s="1130"/>
      <c r="E32" s="1130"/>
      <c r="F32" s="1130"/>
      <c r="G32" s="1130"/>
      <c r="H32" s="1130"/>
      <c r="I32" s="1130"/>
      <c r="J32" s="1130"/>
      <c r="K32" s="1130"/>
      <c r="L32" s="1257"/>
      <c r="M32" s="1130"/>
      <c r="N32" s="1130"/>
      <c r="O32" s="1130"/>
      <c r="S32" s="16116" t="s">
        <v>40</v>
      </c>
      <c r="T32" s="16116"/>
      <c r="U32" s="1249"/>
      <c r="V32" s="16117" t="str">
        <f>IF(TITLE_IST_PUB_CHANGE="",IF(TITLE_IST_PUB="","",TITLE_IST_PUB),TITLE_IST_PUB_CHANGE)</f>
        <v>https://npa.gov-murman.ru/bitrix/components/b1team/govmurman.element.file/download.php?ID=518761&amp;FID=765125</v>
      </c>
      <c r="W32" s="16117"/>
      <c r="X32" s="16117"/>
      <c r="Y32" s="16117"/>
      <c r="Z32" s="16117"/>
      <c r="AA32" s="16117"/>
      <c r="AB32" s="16117"/>
      <c r="AC32" s="1498"/>
      <c r="AD32" s="16117" t="str">
        <f>IF(TITLE_IST_PUB_CHANGE="",IF(TITLE_IST_PUB="","",TITLE_IST_PUB),TITLE_IST_PUB_CHANGE)</f>
        <v>https://npa.gov-murman.ru/bitrix/components/b1team/govmurman.element.file/download.php?ID=518761&amp;FID=765125</v>
      </c>
      <c r="AE32" s="16117"/>
      <c r="AF32" s="16117"/>
      <c r="AG32" s="16117"/>
      <c r="AH32" s="16117"/>
      <c r="AI32" s="16117"/>
      <c r="AJ32" s="16117"/>
      <c r="AK32" s="1498"/>
      <c r="AL32" s="1498"/>
      <c r="AM32" s="198"/>
      <c r="AN32" s="283"/>
      <c r="AO32" s="283"/>
      <c r="AP32" s="283"/>
      <c r="AQ32" s="283"/>
      <c r="AR32" s="283"/>
    </row>
    <row r="33" spans="1:44" ht="14.25" hidden="1" customHeight="1">
      <c r="Q33" s="291"/>
      <c r="R33" s="291"/>
      <c r="S33" s="1157"/>
      <c r="T33" s="366"/>
      <c r="U33" s="366"/>
      <c r="V33" s="239"/>
      <c r="W33" s="239"/>
      <c r="X33" s="239"/>
      <c r="Y33" s="239"/>
      <c r="Z33" s="239"/>
      <c r="AA33" s="239"/>
      <c r="AB33" s="239"/>
      <c r="AC33" s="239"/>
      <c r="AD33" s="239"/>
      <c r="AE33" s="239"/>
      <c r="AF33" s="239"/>
      <c r="AG33" s="239"/>
      <c r="AH33" s="239"/>
      <c r="AI33" s="239"/>
      <c r="AJ33" s="239"/>
      <c r="AK33" s="239"/>
      <c r="AL33" s="1498"/>
    </row>
    <row r="34" spans="1:44" s="14420" customFormat="1" ht="18.75" hidden="1" customHeight="1">
      <c r="A34" s="1130"/>
      <c r="B34" s="1130"/>
      <c r="C34" s="1130"/>
      <c r="D34" s="1130"/>
      <c r="E34" s="1130"/>
      <c r="F34" s="1130"/>
      <c r="G34" s="1130"/>
      <c r="H34" s="1130"/>
      <c r="I34" s="1130"/>
      <c r="J34" s="1130"/>
      <c r="K34" s="1130"/>
      <c r="L34" s="1257"/>
      <c r="M34" s="1130"/>
      <c r="N34" s="1130"/>
      <c r="O34" s="1130"/>
      <c r="S34" s="16116" t="s">
        <v>560</v>
      </c>
      <c r="T34" s="16116"/>
      <c r="U34" s="1249"/>
      <c r="V34" s="16126">
        <f>IF(TITLE_DATE_PR_CHANGE="",IF(TITLE_DATE_PR="","",TITLE_DATE_PR),TITLE_DATE_PR_CHANGE)</f>
        <v>45379</v>
      </c>
      <c r="W34" s="16126"/>
      <c r="X34" s="16126"/>
      <c r="Y34" s="16126"/>
      <c r="Z34" s="16126"/>
      <c r="AA34" s="16126"/>
      <c r="AB34" s="16126"/>
      <c r="AC34" s="1498"/>
      <c r="AD34" s="16126">
        <f>IF(TITLE_DATE_PR_CHANGE="",IF(TITLE_DATE_PR="","",TITLE_DATE_PR),TITLE_DATE_PR_CHANGE)</f>
        <v>45379</v>
      </c>
      <c r="AE34" s="16126"/>
      <c r="AF34" s="16126"/>
      <c r="AG34" s="16126"/>
      <c r="AH34" s="16126"/>
      <c r="AI34" s="16126"/>
      <c r="AJ34" s="16126"/>
      <c r="AK34" s="1498"/>
      <c r="AL34" s="1498"/>
      <c r="AM34" s="198"/>
      <c r="AN34" s="283"/>
      <c r="AO34" s="283"/>
      <c r="AP34" s="283"/>
      <c r="AQ34" s="283"/>
      <c r="AR34" s="283"/>
    </row>
    <row r="35" spans="1:44" s="14420" customFormat="1" ht="18.75" hidden="1" customHeight="1">
      <c r="A35" s="1130"/>
      <c r="B35" s="1130"/>
      <c r="C35" s="1130"/>
      <c r="D35" s="1130"/>
      <c r="E35" s="1130"/>
      <c r="F35" s="1130"/>
      <c r="G35" s="1130"/>
      <c r="H35" s="1130"/>
      <c r="I35" s="1130"/>
      <c r="J35" s="1130"/>
      <c r="K35" s="1130"/>
      <c r="L35" s="1257"/>
      <c r="M35" s="1130"/>
      <c r="N35" s="1130"/>
      <c r="O35" s="1130"/>
      <c r="S35" s="16116" t="s">
        <v>561</v>
      </c>
      <c r="T35" s="16116"/>
      <c r="U35" s="1249"/>
      <c r="V35" s="16117" t="str">
        <f>IF(TITLE_NUMBER_PR_CHANGE="",IF(TITLE_NUMBER_PR="","",TITLE_NUMBER_PR),TITLE_NUMBER_PR_CHANGE)</f>
        <v>8/6</v>
      </c>
      <c r="W35" s="16117"/>
      <c r="X35" s="16117"/>
      <c r="Y35" s="16117"/>
      <c r="Z35" s="16117"/>
      <c r="AA35" s="16117"/>
      <c r="AB35" s="16117"/>
      <c r="AC35" s="1498"/>
      <c r="AD35" s="16117" t="str">
        <f>IF(TITLE_NUMBER_PR_CHANGE="",IF(TITLE_NUMBER_PR="","",TITLE_NUMBER_PR),TITLE_NUMBER_PR_CHANGE)</f>
        <v>8/6</v>
      </c>
      <c r="AE35" s="16117"/>
      <c r="AF35" s="16117"/>
      <c r="AG35" s="16117"/>
      <c r="AH35" s="16117"/>
      <c r="AI35" s="16117"/>
      <c r="AJ35" s="16117"/>
      <c r="AK35" s="1498"/>
      <c r="AL35" s="1498"/>
      <c r="AM35" s="198"/>
      <c r="AN35" s="283"/>
      <c r="AO35" s="283"/>
      <c r="AP35" s="283"/>
      <c r="AQ35" s="283"/>
      <c r="AR35" s="283"/>
    </row>
    <row r="36" spans="1:44" s="14420" customFormat="1" ht="0" hidden="1" customHeight="1">
      <c r="A36" s="1130"/>
      <c r="B36" s="1130"/>
      <c r="C36" s="1130"/>
      <c r="D36" s="1130"/>
      <c r="E36" s="1130"/>
      <c r="F36" s="1130"/>
      <c r="G36" s="1130"/>
      <c r="H36" s="1130"/>
      <c r="I36" s="1130"/>
      <c r="J36" s="1130"/>
      <c r="K36" s="1130"/>
      <c r="L36" s="1257"/>
      <c r="M36" s="1130"/>
      <c r="N36" s="1130"/>
      <c r="O36" s="1130"/>
      <c r="S36" s="1498"/>
      <c r="T36" s="1498"/>
      <c r="U36" s="1830"/>
      <c r="V36" s="1498"/>
      <c r="W36" s="1498"/>
      <c r="X36" s="1498"/>
      <c r="Y36" s="1498"/>
      <c r="Z36" s="1498"/>
      <c r="AA36" s="1498"/>
      <c r="AB36" s="1498"/>
      <c r="AC36" s="1505" t="s">
        <v>562</v>
      </c>
      <c r="AD36" s="1498"/>
      <c r="AE36" s="1498"/>
      <c r="AF36" s="1498"/>
      <c r="AG36" s="1498"/>
      <c r="AH36" s="1498"/>
      <c r="AI36" s="1498"/>
      <c r="AJ36" s="1498"/>
      <c r="AK36" s="1505" t="s">
        <v>562</v>
      </c>
      <c r="AN36" s="283"/>
      <c r="AO36" s="283"/>
      <c r="AP36" s="283"/>
      <c r="AQ36" s="283"/>
      <c r="AR36" s="283"/>
    </row>
    <row r="37" spans="1:44" ht="14.25" customHeight="1">
      <c r="Q37" s="291"/>
      <c r="R37" s="291"/>
      <c r="S37" s="1157"/>
      <c r="T37" s="366"/>
      <c r="U37" s="1126"/>
      <c r="V37" s="16118"/>
      <c r="W37" s="16118"/>
      <c r="X37" s="16118"/>
      <c r="Y37" s="16118"/>
      <c r="Z37" s="16118"/>
      <c r="AA37" s="16118"/>
      <c r="AB37" s="16118"/>
      <c r="AC37" s="16118"/>
      <c r="AD37" s="16118"/>
      <c r="AE37" s="16118"/>
      <c r="AF37" s="16118"/>
      <c r="AG37" s="16118"/>
      <c r="AH37" s="16118"/>
      <c r="AI37" s="16118"/>
      <c r="AJ37" s="16118"/>
      <c r="AK37" s="16118"/>
    </row>
    <row r="38" spans="1:44" ht="14.25" customHeight="1">
      <c r="Q38" s="291"/>
      <c r="R38" s="291"/>
      <c r="S38" s="15992" t="s">
        <v>437</v>
      </c>
      <c r="T38" s="15992"/>
      <c r="U38" s="15992"/>
      <c r="V38" s="15992"/>
      <c r="W38" s="15992"/>
      <c r="X38" s="15992"/>
      <c r="Y38" s="15992"/>
      <c r="Z38" s="15992"/>
      <c r="AA38" s="15992"/>
      <c r="AB38" s="15992"/>
      <c r="AC38" s="15992"/>
      <c r="AD38" s="15992"/>
      <c r="AE38" s="15992"/>
      <c r="AF38" s="15992"/>
      <c r="AG38" s="15992"/>
      <c r="AH38" s="15992"/>
      <c r="AI38" s="15992"/>
      <c r="AJ38" s="15992"/>
      <c r="AK38" s="15992"/>
      <c r="AL38" s="15992"/>
      <c r="AM38" s="15992" t="s">
        <v>438</v>
      </c>
    </row>
    <row r="39" spans="1:44" ht="14.25" customHeight="1">
      <c r="Q39" s="291"/>
      <c r="R39" s="291"/>
      <c r="S39" s="16132" t="s">
        <v>87</v>
      </c>
      <c r="T39" s="16084" t="s">
        <v>563</v>
      </c>
      <c r="U39" s="254"/>
      <c r="V39" s="16133" t="s">
        <v>564</v>
      </c>
      <c r="W39" s="16134"/>
      <c r="X39" s="16134"/>
      <c r="Y39" s="16134"/>
      <c r="Z39" s="16134"/>
      <c r="AA39" s="16134"/>
      <c r="AB39" s="16135"/>
      <c r="AC39" s="16136" t="s">
        <v>565</v>
      </c>
      <c r="AD39" s="16133" t="s">
        <v>564</v>
      </c>
      <c r="AE39" s="16134"/>
      <c r="AF39" s="16134"/>
      <c r="AG39" s="16134"/>
      <c r="AH39" s="16134"/>
      <c r="AI39" s="16134"/>
      <c r="AJ39" s="16135"/>
      <c r="AK39" s="16136" t="s">
        <v>566</v>
      </c>
      <c r="AL39" s="16139" t="s">
        <v>567</v>
      </c>
      <c r="AM39" s="15992"/>
    </row>
    <row r="40" spans="1:44" ht="33.75" customHeight="1">
      <c r="Q40" s="291"/>
      <c r="R40" s="291"/>
      <c r="S40" s="16132"/>
      <c r="T40" s="16084"/>
      <c r="U40" s="919"/>
      <c r="V40" s="16055" t="s">
        <v>568</v>
      </c>
      <c r="W40" s="16142" t="s">
        <v>569</v>
      </c>
      <c r="X40" s="15963" t="s">
        <v>570</v>
      </c>
      <c r="Y40" s="15962"/>
      <c r="Z40" s="15963" t="s">
        <v>583</v>
      </c>
      <c r="AA40" s="15968"/>
      <c r="AB40" s="15962"/>
      <c r="AC40" s="16137"/>
      <c r="AD40" s="16055" t="s">
        <v>568</v>
      </c>
      <c r="AE40" s="16142" t="s">
        <v>569</v>
      </c>
      <c r="AF40" s="15963" t="s">
        <v>570</v>
      </c>
      <c r="AG40" s="15962"/>
      <c r="AH40" s="15963" t="s">
        <v>571</v>
      </c>
      <c r="AI40" s="15968"/>
      <c r="AJ40" s="15962"/>
      <c r="AK40" s="16137"/>
      <c r="AL40" s="16140"/>
      <c r="AM40" s="15992"/>
    </row>
    <row r="41" spans="1:44" ht="33.75" customHeight="1">
      <c r="A41" s="1148"/>
      <c r="B41" s="1148" t="s">
        <v>170</v>
      </c>
      <c r="C41" s="1148" t="s">
        <v>171</v>
      </c>
      <c r="D41" s="1148" t="s">
        <v>172</v>
      </c>
      <c r="E41" s="1189" t="s">
        <v>572</v>
      </c>
      <c r="F41" s="1189" t="s">
        <v>573</v>
      </c>
      <c r="G41" s="1189" t="s">
        <v>574</v>
      </c>
      <c r="H41" s="1189" t="s">
        <v>575</v>
      </c>
      <c r="I41" s="1189" t="s">
        <v>576</v>
      </c>
      <c r="J41" s="1189" t="s">
        <v>577</v>
      </c>
      <c r="K41" s="1189" t="s">
        <v>578</v>
      </c>
      <c r="L41" s="1189" t="s">
        <v>553</v>
      </c>
      <c r="Q41" s="291"/>
      <c r="R41" s="291"/>
      <c r="S41" s="16132"/>
      <c r="T41" s="16084"/>
      <c r="U41" s="219"/>
      <c r="V41" s="16103"/>
      <c r="W41" s="16143"/>
      <c r="X41" s="1798" t="s">
        <v>579</v>
      </c>
      <c r="Y41" s="1798" t="s">
        <v>580</v>
      </c>
      <c r="Z41" s="1798" t="s">
        <v>581</v>
      </c>
      <c r="AA41" s="16092" t="s">
        <v>582</v>
      </c>
      <c r="AB41" s="16094"/>
      <c r="AC41" s="16138"/>
      <c r="AD41" s="16103"/>
      <c r="AE41" s="16143"/>
      <c r="AF41" s="1798" t="s">
        <v>579</v>
      </c>
      <c r="AG41" s="1798" t="s">
        <v>580</v>
      </c>
      <c r="AH41" s="1798" t="s">
        <v>581</v>
      </c>
      <c r="AI41" s="16092" t="s">
        <v>582</v>
      </c>
      <c r="AJ41" s="16094"/>
      <c r="AK41" s="16138"/>
      <c r="AL41" s="16141"/>
      <c r="AM41" s="15992"/>
    </row>
    <row r="42" spans="1:44" s="14431" customFormat="1" ht="11.25" hidden="1" customHeight="1">
      <c r="A42" s="1148"/>
      <c r="B42" s="1148"/>
      <c r="C42" s="1148"/>
      <c r="D42" s="1148"/>
      <c r="E42" s="1148"/>
      <c r="F42" s="1148"/>
      <c r="G42" s="1148"/>
      <c r="H42" s="1148"/>
      <c r="I42" s="1148"/>
      <c r="J42" s="1148"/>
      <c r="K42" s="1148"/>
      <c r="L42" s="1189"/>
      <c r="M42" s="1825"/>
      <c r="N42" s="1825"/>
      <c r="O42" s="1825"/>
      <c r="P42" s="1128"/>
      <c r="Q42" s="1129"/>
      <c r="R42" s="1136">
        <v>1</v>
      </c>
      <c r="S42" s="1159" t="s">
        <v>147</v>
      </c>
      <c r="T42" s="1137" t="s">
        <v>102</v>
      </c>
      <c r="U42" s="1127" t="str">
        <f ca="1">OFFSET(U42,0,-1)</f>
        <v>2</v>
      </c>
      <c r="V42" s="1816">
        <f ca="1">OFFSET(V42,0,-1)+1</f>
        <v>3</v>
      </c>
      <c r="W42" s="1816"/>
      <c r="X42" s="1816">
        <f ca="1">OFFSET(X42,0,-1)+1</f>
        <v>1</v>
      </c>
      <c r="Y42" s="1816">
        <f ca="1">OFFSET(Y42,0,-1)+1</f>
        <v>2</v>
      </c>
      <c r="Z42" s="1816">
        <f ca="1">OFFSET(Z42,0,-1)+1</f>
        <v>3</v>
      </c>
      <c r="AA42" s="16131">
        <f ca="1">OFFSET(AA42,0,-1)+1</f>
        <v>4</v>
      </c>
      <c r="AB42" s="16131"/>
      <c r="AC42" s="1816">
        <f ca="1">OFFSET(AC42,0,-2)+1</f>
        <v>5</v>
      </c>
      <c r="AD42" s="1816">
        <f ca="1">OFFSET(AD42,0,-1)+1</f>
        <v>6</v>
      </c>
      <c r="AE42" s="1816"/>
      <c r="AF42" s="1816">
        <f ca="1">OFFSET(AF42,0,-1)+1</f>
        <v>1</v>
      </c>
      <c r="AG42" s="1816">
        <f ca="1">OFFSET(AG42,0,-1)+1</f>
        <v>2</v>
      </c>
      <c r="AH42" s="1816">
        <f ca="1">OFFSET(AH42,0,-1)+1</f>
        <v>3</v>
      </c>
      <c r="AI42" s="16131">
        <f ca="1">OFFSET(AI42,0,-1)+1</f>
        <v>4</v>
      </c>
      <c r="AJ42" s="16131"/>
      <c r="AK42" s="1816">
        <f ca="1">OFFSET(AK42,0,-2)+1</f>
        <v>5</v>
      </c>
      <c r="AL42" s="1127">
        <f ca="1">OFFSET(AL42,0,-1)</f>
        <v>5</v>
      </c>
      <c r="AM42" s="1816">
        <f ca="1">OFFSET(AM42,0,-1)+1</f>
        <v>6</v>
      </c>
      <c r="AN42" s="1499"/>
      <c r="AO42" s="1499"/>
      <c r="AP42" s="1499"/>
      <c r="AQ42" s="1499"/>
      <c r="AR42" s="1499"/>
    </row>
    <row r="43" spans="1:44" ht="21" customHeight="1">
      <c r="A43" s="1149" t="s">
        <v>241</v>
      </c>
      <c r="B43" s="1149"/>
      <c r="C43" s="1149"/>
      <c r="D43" s="1149"/>
      <c r="E43" s="16148">
        <v>1</v>
      </c>
      <c r="F43" s="1149"/>
      <c r="G43" s="1149"/>
      <c r="H43" s="1149"/>
      <c r="I43" s="1149"/>
      <c r="J43" s="1149"/>
      <c r="K43" s="1149"/>
      <c r="L43" s="1189"/>
      <c r="M43" s="1476"/>
      <c r="N43" s="1476"/>
      <c r="O43" s="1476"/>
      <c r="P43" s="1458"/>
      <c r="Q43" s="276"/>
      <c r="R43" s="271"/>
      <c r="S43" s="1818">
        <f>INDEX(PT_DIFFERENTIATION_NUM_NTAR,MATCH(A43,PT_DIFFERENTIATION_NTAR_ID,0))</f>
        <v>0</v>
      </c>
      <c r="T43" s="1396" t="s">
        <v>158</v>
      </c>
      <c r="U43" s="217"/>
      <c r="V43" s="16110"/>
      <c r="W43" s="16111"/>
      <c r="X43" s="16111"/>
      <c r="Y43" s="16111"/>
      <c r="Z43" s="16111"/>
      <c r="AA43" s="16111"/>
      <c r="AB43" s="16111"/>
      <c r="AC43" s="16112"/>
      <c r="AD43" s="16110" t="str">
        <f>INDEX(PT_DIFFERENTIATION_NTAR,MATCH(A43,PT_DIFFERENTIATION_NTAR_ID,0))</f>
        <v/>
      </c>
      <c r="AE43" s="16111"/>
      <c r="AF43" s="16111"/>
      <c r="AG43" s="16111"/>
      <c r="AH43" s="16111"/>
      <c r="AI43" s="16111"/>
      <c r="AJ43" s="16111"/>
      <c r="AK43" s="16111"/>
      <c r="AL43" s="16112"/>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87"/>
      <c r="AP43" s="1487" t="str">
        <f t="shared" ref="AP43:AP57" si="1">IF(T43="","",T43)</f>
        <v>Наименование тарифа</v>
      </c>
      <c r="AQ43" s="1487"/>
      <c r="AR43" s="1487"/>
    </row>
    <row r="44" spans="1:44" ht="21" customHeight="1">
      <c r="A44" s="1149" t="s">
        <v>241</v>
      </c>
      <c r="B44" s="1149" t="s">
        <v>242</v>
      </c>
      <c r="C44" s="1149"/>
      <c r="D44" s="1149"/>
      <c r="E44" s="16149"/>
      <c r="F44" s="16148">
        <v>1</v>
      </c>
      <c r="G44" s="1149"/>
      <c r="H44" s="1149"/>
      <c r="I44" s="1149"/>
      <c r="J44" s="1149"/>
      <c r="K44" s="1149"/>
      <c r="L44" s="1189"/>
      <c r="M44" s="1476"/>
      <c r="N44" s="1476"/>
      <c r="O44" s="1476"/>
      <c r="P44" s="1800"/>
      <c r="Q44" s="268"/>
      <c r="R44" s="269"/>
      <c r="S44" s="1818" t="str">
        <f>INDEX(PT_DIFFERENTIATION_NUM_TER,MATCH(B44,PT_DIFFERENTIATION_TER_ID,0))</f>
        <v>.</v>
      </c>
      <c r="T44" s="1393" t="s">
        <v>534</v>
      </c>
      <c r="U44" s="217"/>
      <c r="V44" s="16110"/>
      <c r="W44" s="16111"/>
      <c r="X44" s="16111"/>
      <c r="Y44" s="16111"/>
      <c r="Z44" s="16111"/>
      <c r="AA44" s="16111"/>
      <c r="AB44" s="16111"/>
      <c r="AC44" s="16112"/>
      <c r="AD44" s="16110" t="str">
        <f>INDEX(PT_DIFFERENTIATION_TER,MATCH(B44,PT_DIFFERENTIATION_TER_ID,0))</f>
        <v/>
      </c>
      <c r="AE44" s="16111"/>
      <c r="AF44" s="16111"/>
      <c r="AG44" s="16111"/>
      <c r="AH44" s="16111"/>
      <c r="AI44" s="16111"/>
      <c r="AJ44" s="16111"/>
      <c r="AK44" s="16111"/>
      <c r="AL44" s="16112"/>
      <c r="AM44" s="1140" t="s">
        <v>535</v>
      </c>
      <c r="AO44" s="1487"/>
      <c r="AP44" s="1487" t="str">
        <f t="shared" si="1"/>
        <v>Территория действия тарифа</v>
      </c>
      <c r="AQ44" s="1487"/>
      <c r="AR44" s="1487"/>
    </row>
    <row r="45" spans="1:44" ht="23.25" customHeight="1">
      <c r="A45" s="1149" t="s">
        <v>241</v>
      </c>
      <c r="B45" s="1149" t="s">
        <v>242</v>
      </c>
      <c r="C45" s="1149" t="s">
        <v>243</v>
      </c>
      <c r="D45" s="1149"/>
      <c r="E45" s="16149"/>
      <c r="F45" s="16149"/>
      <c r="G45" s="16148">
        <v>1</v>
      </c>
      <c r="H45" s="1149"/>
      <c r="I45" s="1149"/>
      <c r="J45" s="1149"/>
      <c r="K45" s="1149"/>
      <c r="L45" s="1189"/>
      <c r="M45" s="1476"/>
      <c r="N45" s="1476"/>
      <c r="O45" s="1476"/>
      <c r="P45" s="270"/>
      <c r="Q45" s="268"/>
      <c r="R45" s="269"/>
      <c r="S45" s="1818" t="str">
        <f>INDEX(PT_DIFFERENTIATION_NUM_CS,MATCH(C45,PT_DIFFERENTIATION_CS_ID,0))</f>
        <v>..</v>
      </c>
      <c r="T45" s="226" t="s">
        <v>536</v>
      </c>
      <c r="U45" s="217"/>
      <c r="V45" s="16110"/>
      <c r="W45" s="16111"/>
      <c r="X45" s="16111"/>
      <c r="Y45" s="16111"/>
      <c r="Z45" s="16111"/>
      <c r="AA45" s="16111"/>
      <c r="AB45" s="16111"/>
      <c r="AC45" s="16112"/>
      <c r="AD45" s="16110" t="str">
        <f>INDEX(PT_DIFFERENTIATION_CS,MATCH(C45,PT_DIFFERENTIATION_CS_ID,0))</f>
        <v/>
      </c>
      <c r="AE45" s="16111"/>
      <c r="AF45" s="16111"/>
      <c r="AG45" s="16111"/>
      <c r="AH45" s="16111"/>
      <c r="AI45" s="16111"/>
      <c r="AJ45" s="16111"/>
      <c r="AK45" s="16111"/>
      <c r="AL45" s="16112"/>
      <c r="AM45" s="1140" t="s">
        <v>537</v>
      </c>
      <c r="AO45" s="1487"/>
      <c r="AP45" s="1487" t="str">
        <f t="shared" si="1"/>
        <v xml:space="preserve">Наименование системы теплоснабжения </v>
      </c>
      <c r="AQ45" s="1487"/>
      <c r="AR45" s="1487"/>
    </row>
    <row r="46" spans="1:44" ht="21" customHeight="1">
      <c r="A46" s="1149" t="s">
        <v>241</v>
      </c>
      <c r="B46" s="1149" t="s">
        <v>242</v>
      </c>
      <c r="C46" s="1149" t="s">
        <v>243</v>
      </c>
      <c r="D46" s="1149" t="s">
        <v>244</v>
      </c>
      <c r="E46" s="16149"/>
      <c r="F46" s="16149"/>
      <c r="G46" s="16149"/>
      <c r="H46" s="16148">
        <v>1</v>
      </c>
      <c r="I46" s="1149"/>
      <c r="J46" s="1149"/>
      <c r="K46" s="1149"/>
      <c r="L46" s="1189"/>
      <c r="M46" s="1476"/>
      <c r="N46" s="1476"/>
      <c r="O46" s="1476"/>
      <c r="P46" s="270"/>
      <c r="Q46" s="268"/>
      <c r="R46" s="269"/>
      <c r="S46" s="1818" t="str">
        <f>INDEX(PT_DIFFERENTIATION_NUM_IST_TE,MATCH(D46,PT_DIFFERENTIATION_IST_TE_ID,0))</f>
        <v>...</v>
      </c>
      <c r="T46" s="227" t="s">
        <v>538</v>
      </c>
      <c r="U46" s="217"/>
      <c r="V46" s="16110"/>
      <c r="W46" s="16111"/>
      <c r="X46" s="16111"/>
      <c r="Y46" s="16111"/>
      <c r="Z46" s="16111"/>
      <c r="AA46" s="16111"/>
      <c r="AB46" s="16111"/>
      <c r="AC46" s="16112"/>
      <c r="AD46" s="16110" t="str">
        <f>INDEX(PT_DIFFERENTIATION_IST_TE,MATCH(D46,PT_DIFFERENTIATION_IST_TE_ID,0))</f>
        <v/>
      </c>
      <c r="AE46" s="16111"/>
      <c r="AF46" s="16111"/>
      <c r="AG46" s="16111"/>
      <c r="AH46" s="16111"/>
      <c r="AI46" s="16111"/>
      <c r="AJ46" s="16111"/>
      <c r="AK46" s="16111"/>
      <c r="AL46" s="16112"/>
      <c r="AM46" s="1140" t="s">
        <v>539</v>
      </c>
      <c r="AO46" s="1487"/>
      <c r="AP46" s="1487" t="str">
        <f t="shared" si="1"/>
        <v xml:space="preserve">Источник тепловой энергии  </v>
      </c>
      <c r="AQ46" s="1487"/>
      <c r="AR46" s="1487"/>
    </row>
    <row r="47" spans="1:44" ht="47.25" customHeight="1">
      <c r="A47" s="1149" t="s">
        <v>241</v>
      </c>
      <c r="B47" s="1149" t="s">
        <v>242</v>
      </c>
      <c r="C47" s="1149" t="s">
        <v>243</v>
      </c>
      <c r="D47" s="1149" t="s">
        <v>244</v>
      </c>
      <c r="E47" s="16149"/>
      <c r="F47" s="16149"/>
      <c r="G47" s="16149"/>
      <c r="H47" s="16149"/>
      <c r="I47" s="15992" t="str">
        <f>S46&amp;".1"</f>
        <v>....1</v>
      </c>
      <c r="J47" s="1149"/>
      <c r="K47" s="1149"/>
      <c r="L47" s="1189" t="s">
        <v>540</v>
      </c>
      <c r="P47" s="16123">
        <v>1</v>
      </c>
      <c r="Q47" s="1814"/>
      <c r="R47" s="272"/>
      <c r="S47" s="1818" t="str">
        <f>$I47</f>
        <v>....1</v>
      </c>
      <c r="T47" s="202" t="s">
        <v>541</v>
      </c>
      <c r="U47" s="217"/>
      <c r="V47" s="16113"/>
      <c r="W47" s="16114"/>
      <c r="X47" s="16114"/>
      <c r="Y47" s="16114"/>
      <c r="Z47" s="16114"/>
      <c r="AA47" s="16114"/>
      <c r="AB47" s="16114"/>
      <c r="AC47" s="16115"/>
      <c r="AD47" s="16113"/>
      <c r="AE47" s="16114"/>
      <c r="AF47" s="16114"/>
      <c r="AG47" s="16114"/>
      <c r="AH47" s="16114"/>
      <c r="AI47" s="16114"/>
      <c r="AJ47" s="16114"/>
      <c r="AK47" s="16114"/>
      <c r="AL47" s="16115"/>
      <c r="AM47" s="1140" t="s">
        <v>542</v>
      </c>
      <c r="AO47" s="1487"/>
      <c r="AP47" s="1487" t="str">
        <f t="shared" si="1"/>
        <v>Схема подключения теплопотребляющей установки к коллектору источника тепловой энергии</v>
      </c>
      <c r="AQ47" s="1487"/>
      <c r="AR47" s="1487"/>
    </row>
    <row r="48" spans="1:44" ht="21" customHeight="1">
      <c r="A48" s="1149" t="s">
        <v>241</v>
      </c>
      <c r="B48" s="1149" t="s">
        <v>242</v>
      </c>
      <c r="C48" s="1149" t="s">
        <v>243</v>
      </c>
      <c r="D48" s="1149" t="s">
        <v>244</v>
      </c>
      <c r="E48" s="16149"/>
      <c r="F48" s="16149"/>
      <c r="G48" s="16149"/>
      <c r="H48" s="16149"/>
      <c r="I48" s="15963"/>
      <c r="J48" s="15992" t="str">
        <f>I47&amp;".1"</f>
        <v>....1.1</v>
      </c>
      <c r="K48" s="1149"/>
      <c r="L48" s="1189" t="s">
        <v>543</v>
      </c>
      <c r="P48" s="16123"/>
      <c r="Q48" s="16123">
        <v>1</v>
      </c>
      <c r="R48" s="273"/>
      <c r="S48" s="1818" t="str">
        <f>$J48</f>
        <v>....1.1</v>
      </c>
      <c r="T48" s="203" t="s">
        <v>544</v>
      </c>
      <c r="U48" s="217"/>
      <c r="V48" s="16113"/>
      <c r="W48" s="16114"/>
      <c r="X48" s="16114"/>
      <c r="Y48" s="16114"/>
      <c r="Z48" s="16114"/>
      <c r="AA48" s="16114"/>
      <c r="AB48" s="16114"/>
      <c r="AC48" s="16115"/>
      <c r="AD48" s="16113"/>
      <c r="AE48" s="16114"/>
      <c r="AF48" s="16114"/>
      <c r="AG48" s="16114"/>
      <c r="AH48" s="16114"/>
      <c r="AI48" s="16114"/>
      <c r="AJ48" s="16114"/>
      <c r="AK48" s="16114"/>
      <c r="AL48" s="16115"/>
      <c r="AM48" s="1140" t="s">
        <v>545</v>
      </c>
      <c r="AO48" s="1487"/>
      <c r="AP48" s="1487" t="str">
        <f t="shared" si="1"/>
        <v>Группа потребителей</v>
      </c>
      <c r="AQ48" s="1487"/>
      <c r="AR48" s="1487"/>
    </row>
    <row r="49" spans="1:44" ht="21" customHeight="1">
      <c r="A49" s="1149" t="s">
        <v>241</v>
      </c>
      <c r="B49" s="1149" t="s">
        <v>242</v>
      </c>
      <c r="C49" s="1149" t="s">
        <v>243</v>
      </c>
      <c r="D49" s="1149" t="s">
        <v>244</v>
      </c>
      <c r="E49" s="16149"/>
      <c r="F49" s="16149"/>
      <c r="G49" s="16149"/>
      <c r="H49" s="16149"/>
      <c r="I49" s="15963"/>
      <c r="J49" s="15963"/>
      <c r="K49" s="15992" t="str">
        <f>J48&amp;".1"</f>
        <v>....1.1.1</v>
      </c>
      <c r="L49" s="1189" t="s">
        <v>546</v>
      </c>
      <c r="P49" s="16123"/>
      <c r="Q49" s="16123"/>
      <c r="R49" s="273">
        <v>1</v>
      </c>
      <c r="S49" s="1818" t="str">
        <f>$K49</f>
        <v>....1.1.1</v>
      </c>
      <c r="T49" s="1225"/>
      <c r="U49" s="217"/>
      <c r="V49" s="649"/>
      <c r="W49" s="242"/>
      <c r="X49" s="649"/>
      <c r="Y49" s="1139"/>
      <c r="Z49" s="16127"/>
      <c r="AA49" s="15973" t="s">
        <v>66</v>
      </c>
      <c r="AB49" s="16127"/>
      <c r="AC49" s="15973" t="s">
        <v>66</v>
      </c>
      <c r="AD49" s="649"/>
      <c r="AE49" s="242"/>
      <c r="AF49" s="649"/>
      <c r="AG49" s="1139"/>
      <c r="AH49" s="16127"/>
      <c r="AI49" s="15973" t="s">
        <v>66</v>
      </c>
      <c r="AJ49" s="16146"/>
      <c r="AK49" s="15973" t="s">
        <v>66</v>
      </c>
      <c r="AL49" s="1226"/>
      <c r="AM49" s="16119" t="s">
        <v>547</v>
      </c>
      <c r="AN49" s="1499" t="e">
        <f ca="1">STRCHECKDATE(V50:AL50)</f>
        <v>#NAME?</v>
      </c>
      <c r="AO49" s="1487"/>
      <c r="AP49" s="1487" t="str">
        <f t="shared" si="1"/>
        <v/>
      </c>
      <c r="AQ49" s="1487"/>
      <c r="AR49" s="1487"/>
    </row>
    <row r="50" spans="1:44" ht="0.75" customHeight="1">
      <c r="A50" s="1149" t="s">
        <v>241</v>
      </c>
      <c r="B50" s="1149" t="s">
        <v>242</v>
      </c>
      <c r="C50" s="1149" t="s">
        <v>243</v>
      </c>
      <c r="D50" s="1149" t="s">
        <v>244</v>
      </c>
      <c r="E50" s="16149"/>
      <c r="F50" s="16149"/>
      <c r="G50" s="16149"/>
      <c r="H50" s="16149"/>
      <c r="I50" s="15963"/>
      <c r="J50" s="15963"/>
      <c r="K50" s="15992"/>
      <c r="L50" s="1189"/>
      <c r="P50" s="16123"/>
      <c r="Q50" s="16123"/>
      <c r="R50" s="273"/>
      <c r="S50" s="1827"/>
      <c r="T50" s="217"/>
      <c r="U50" s="217"/>
      <c r="V50" s="242"/>
      <c r="W50" s="242"/>
      <c r="X50" s="242"/>
      <c r="Y50" s="245" t="str">
        <f>Z49&amp;"-"&amp;AB49</f>
        <v>-</v>
      </c>
      <c r="Z50" s="16128"/>
      <c r="AA50" s="15973"/>
      <c r="AB50" s="16128"/>
      <c r="AC50" s="15973"/>
      <c r="AD50" s="242"/>
      <c r="AE50" s="242"/>
      <c r="AF50" s="242"/>
      <c r="AG50" s="245" t="str">
        <f>AH49&amp;"-"&amp;AJ49</f>
        <v>-</v>
      </c>
      <c r="AH50" s="16128"/>
      <c r="AI50" s="15973"/>
      <c r="AJ50" s="16147"/>
      <c r="AK50" s="15973"/>
      <c r="AL50" s="1227"/>
      <c r="AM50" s="16120"/>
      <c r="AO50" s="1487"/>
      <c r="AP50" s="1487" t="str">
        <f t="shared" si="1"/>
        <v/>
      </c>
      <c r="AQ50" s="1487"/>
      <c r="AR50" s="1487"/>
    </row>
    <row r="51" spans="1:44" ht="11.25" customHeight="1">
      <c r="A51" s="1149" t="s">
        <v>241</v>
      </c>
      <c r="B51" s="1149" t="s">
        <v>242</v>
      </c>
      <c r="C51" s="1149" t="s">
        <v>243</v>
      </c>
      <c r="D51" s="1149" t="s">
        <v>244</v>
      </c>
      <c r="E51" s="16149"/>
      <c r="F51" s="16149"/>
      <c r="G51" s="16149"/>
      <c r="H51" s="16149"/>
      <c r="I51" s="15963"/>
      <c r="J51" s="15992"/>
      <c r="K51" s="1149"/>
      <c r="L51" s="1189"/>
      <c r="P51" s="16123"/>
      <c r="Q51" s="16123"/>
      <c r="R51" s="272"/>
      <c r="S51" s="1160"/>
      <c r="T51" s="205" t="s">
        <v>548</v>
      </c>
      <c r="U51" s="503"/>
      <c r="V51" s="503"/>
      <c r="W51" s="503"/>
      <c r="X51" s="503"/>
      <c r="Y51" s="503"/>
      <c r="Z51" s="503"/>
      <c r="AA51" s="503"/>
      <c r="AB51" s="503"/>
      <c r="AC51" s="503"/>
      <c r="AD51" s="503"/>
      <c r="AE51" s="503"/>
      <c r="AF51" s="503"/>
      <c r="AG51" s="503"/>
      <c r="AH51" s="503"/>
      <c r="AI51" s="503"/>
      <c r="AJ51" s="503"/>
      <c r="AK51" s="503"/>
      <c r="AL51" s="241"/>
      <c r="AM51" s="16121"/>
      <c r="AO51" s="1487"/>
      <c r="AP51" s="1487" t="str">
        <f t="shared" si="1"/>
        <v>Добавить вид теплоносителя (параметры теплоносителя)</v>
      </c>
      <c r="AQ51" s="1487"/>
      <c r="AR51" s="1487"/>
    </row>
    <row r="52" spans="1:44" ht="11.25" customHeight="1">
      <c r="A52" s="1149" t="s">
        <v>241</v>
      </c>
      <c r="B52" s="1149" t="s">
        <v>242</v>
      </c>
      <c r="C52" s="1149" t="s">
        <v>243</v>
      </c>
      <c r="D52" s="1149" t="s">
        <v>244</v>
      </c>
      <c r="E52" s="16149"/>
      <c r="F52" s="16149"/>
      <c r="G52" s="16149"/>
      <c r="H52" s="16149"/>
      <c r="I52" s="15992"/>
      <c r="J52" s="1149"/>
      <c r="K52" s="1149"/>
      <c r="L52" s="1189"/>
      <c r="P52" s="16123"/>
      <c r="Q52" s="1814"/>
      <c r="R52" s="272"/>
      <c r="S52" s="1160"/>
      <c r="T52" s="204" t="s">
        <v>549</v>
      </c>
      <c r="U52" s="503"/>
      <c r="V52" s="503"/>
      <c r="W52" s="503"/>
      <c r="X52" s="503"/>
      <c r="Y52" s="503"/>
      <c r="Z52" s="503"/>
      <c r="AA52" s="503"/>
      <c r="AB52" s="503"/>
      <c r="AC52" s="281"/>
      <c r="AD52" s="503"/>
      <c r="AE52" s="503"/>
      <c r="AF52" s="503"/>
      <c r="AG52" s="503"/>
      <c r="AH52" s="503"/>
      <c r="AI52" s="503"/>
      <c r="AJ52" s="503"/>
      <c r="AK52" s="281"/>
      <c r="AL52" s="503"/>
      <c r="AM52" s="220"/>
      <c r="AO52" s="1487"/>
      <c r="AP52" s="1487" t="str">
        <f t="shared" si="1"/>
        <v>Добавить группу потребителей</v>
      </c>
      <c r="AQ52" s="1487"/>
      <c r="AR52" s="1487"/>
    </row>
    <row r="53" spans="1:44" ht="14.25" customHeight="1">
      <c r="A53" s="1149" t="s">
        <v>241</v>
      </c>
      <c r="B53" s="1149" t="s">
        <v>242</v>
      </c>
      <c r="C53" s="1149" t="s">
        <v>243</v>
      </c>
      <c r="D53" s="1149" t="s">
        <v>244</v>
      </c>
      <c r="E53" s="16149"/>
      <c r="F53" s="16149"/>
      <c r="G53" s="16149"/>
      <c r="H53" s="16148"/>
      <c r="I53" s="1149"/>
      <c r="J53" s="1149"/>
      <c r="K53" s="1149"/>
      <c r="L53" s="1189"/>
      <c r="M53" s="1476"/>
      <c r="N53" s="1476"/>
      <c r="O53" s="1498"/>
      <c r="P53" s="276"/>
      <c r="Q53" s="290"/>
      <c r="R53" s="271"/>
      <c r="S53" s="1160"/>
      <c r="T53" s="280" t="s">
        <v>550</v>
      </c>
      <c r="U53" s="503"/>
      <c r="V53" s="503"/>
      <c r="W53" s="503"/>
      <c r="X53" s="503"/>
      <c r="Y53" s="503"/>
      <c r="Z53" s="503"/>
      <c r="AA53" s="503"/>
      <c r="AB53" s="503"/>
      <c r="AC53" s="281"/>
      <c r="AD53" s="503"/>
      <c r="AE53" s="503"/>
      <c r="AF53" s="503"/>
      <c r="AG53" s="503"/>
      <c r="AH53" s="503"/>
      <c r="AI53" s="503"/>
      <c r="AJ53" s="503"/>
      <c r="AK53" s="281"/>
      <c r="AL53" s="503"/>
      <c r="AM53" s="220"/>
      <c r="AO53" s="1487"/>
      <c r="AP53" s="1487" t="str">
        <f t="shared" si="1"/>
        <v>Добавить схему подключения</v>
      </c>
      <c r="AQ53" s="1487"/>
      <c r="AR53" s="1487"/>
    </row>
    <row r="54" spans="1:44" s="14429" customFormat="1" ht="0.75" customHeight="1">
      <c r="A54" s="1149" t="s">
        <v>241</v>
      </c>
      <c r="B54" s="1149" t="s">
        <v>242</v>
      </c>
      <c r="C54" s="1149" t="s">
        <v>243</v>
      </c>
      <c r="D54" s="1835"/>
      <c r="E54" s="16149"/>
      <c r="F54" s="16149"/>
      <c r="G54" s="16148"/>
      <c r="H54" s="1835"/>
      <c r="I54" s="1835"/>
      <c r="J54" s="1835"/>
      <c r="K54" s="1835"/>
      <c r="L54" s="1257"/>
      <c r="M54" s="1476"/>
      <c r="N54" s="1476"/>
      <c r="O54" s="1498"/>
      <c r="P54" s="1195"/>
      <c r="Q54" s="1196"/>
      <c r="R54" s="1195"/>
      <c r="S54" s="1201"/>
      <c r="T54" s="1204" t="s">
        <v>551</v>
      </c>
      <c r="U54" s="1203"/>
      <c r="V54" s="1203"/>
      <c r="W54" s="1203"/>
      <c r="X54" s="1203"/>
      <c r="Y54" s="1203"/>
      <c r="Z54" s="1203"/>
      <c r="AA54" s="1203"/>
      <c r="AB54" s="1203"/>
      <c r="AC54" s="1203"/>
      <c r="AD54" s="1203"/>
      <c r="AE54" s="1203"/>
      <c r="AF54" s="1203"/>
      <c r="AG54" s="1203"/>
      <c r="AH54" s="1203"/>
      <c r="AI54" s="1203"/>
      <c r="AJ54" s="1203"/>
      <c r="AK54" s="1203"/>
      <c r="AL54" s="1203"/>
      <c r="AM54" s="1203"/>
      <c r="AO54" s="1133"/>
      <c r="AP54" s="1133" t="str">
        <f t="shared" si="1"/>
        <v>Добавить источник для дифференциации</v>
      </c>
      <c r="AQ54" s="1133"/>
      <c r="AR54" s="1133"/>
    </row>
    <row r="55" spans="1:44" s="14429" customFormat="1" ht="0.75" customHeight="1">
      <c r="A55" s="1149" t="s">
        <v>241</v>
      </c>
      <c r="B55" s="1149" t="s">
        <v>242</v>
      </c>
      <c r="C55" s="1835"/>
      <c r="D55" s="1835"/>
      <c r="E55" s="16149"/>
      <c r="F55" s="16148"/>
      <c r="G55" s="1835"/>
      <c r="H55" s="1835"/>
      <c r="I55" s="1835"/>
      <c r="J55" s="1835"/>
      <c r="K55" s="1835"/>
      <c r="L55" s="1257"/>
      <c r="M55" s="1836"/>
      <c r="N55" s="1836"/>
      <c r="O55" s="1498"/>
      <c r="P55" s="1195"/>
      <c r="Q55" s="1196"/>
      <c r="R55" s="1195"/>
      <c r="S55" s="1201"/>
      <c r="T55" s="1204" t="s">
        <v>290</v>
      </c>
      <c r="U55" s="1203"/>
      <c r="V55" s="1203"/>
      <c r="W55" s="1203"/>
      <c r="X55" s="1203"/>
      <c r="Y55" s="1203"/>
      <c r="Z55" s="1203"/>
      <c r="AA55" s="1203"/>
      <c r="AB55" s="1203"/>
      <c r="AC55" s="1203"/>
      <c r="AD55" s="1203"/>
      <c r="AE55" s="1203"/>
      <c r="AF55" s="1203"/>
      <c r="AG55" s="1203"/>
      <c r="AH55" s="1203"/>
      <c r="AI55" s="1203"/>
      <c r="AJ55" s="1203"/>
      <c r="AK55" s="1203"/>
      <c r="AL55" s="1203"/>
      <c r="AM55" s="1203"/>
      <c r="AO55" s="1133"/>
      <c r="AP55" s="1133" t="str">
        <f t="shared" si="1"/>
        <v>Добавить централизованную систему для дифференциации</v>
      </c>
      <c r="AQ55" s="1133"/>
      <c r="AR55" s="1133"/>
    </row>
    <row r="56" spans="1:44" s="14432" customFormat="1" ht="0.75" customHeight="1">
      <c r="A56" s="1149" t="s">
        <v>241</v>
      </c>
      <c r="B56" s="1149"/>
      <c r="C56" s="1149"/>
      <c r="D56" s="1149"/>
      <c r="E56" s="16148"/>
      <c r="F56" s="1149"/>
      <c r="G56" s="1149"/>
      <c r="H56" s="1149"/>
      <c r="I56" s="1149"/>
      <c r="J56" s="1149"/>
      <c r="K56" s="1149"/>
      <c r="L56" s="1189"/>
      <c r="M56" s="1836"/>
      <c r="N56" s="1836"/>
      <c r="O56" s="1498"/>
      <c r="P56" s="295"/>
      <c r="Q56" s="1222"/>
      <c r="R56" s="295"/>
      <c r="S56" s="1201"/>
      <c r="T56" s="1204" t="s">
        <v>326</v>
      </c>
      <c r="U56" s="1203"/>
      <c r="V56" s="1203"/>
      <c r="W56" s="1203"/>
      <c r="X56" s="1203"/>
      <c r="Y56" s="1203"/>
      <c r="Z56" s="1203"/>
      <c r="AA56" s="1203"/>
      <c r="AB56" s="1203"/>
      <c r="AC56" s="1203"/>
      <c r="AD56" s="1203"/>
      <c r="AE56" s="1203"/>
      <c r="AF56" s="1203"/>
      <c r="AG56" s="1203"/>
      <c r="AH56" s="1203"/>
      <c r="AI56" s="1203"/>
      <c r="AJ56" s="1203"/>
      <c r="AK56" s="1203"/>
      <c r="AL56" s="1203"/>
      <c r="AM56" s="1203"/>
      <c r="AO56" s="1487"/>
      <c r="AP56" s="1487" t="str">
        <f t="shared" si="1"/>
        <v>Добавить территорию для дифференциации</v>
      </c>
      <c r="AQ56" s="1487"/>
      <c r="AR56" s="1487"/>
    </row>
    <row r="57" spans="1:44" s="14429" customFormat="1" ht="0.75" customHeight="1">
      <c r="A57" s="1835"/>
      <c r="B57" s="1835"/>
      <c r="C57" s="1835"/>
      <c r="D57" s="1835"/>
      <c r="E57" s="1149"/>
      <c r="F57" s="1835"/>
      <c r="G57" s="1835"/>
      <c r="H57" s="1835"/>
      <c r="I57" s="1835"/>
      <c r="J57" s="1835"/>
      <c r="K57" s="1835"/>
      <c r="L57" s="1257"/>
      <c r="M57" s="1836"/>
      <c r="N57" s="1836"/>
      <c r="O57" s="1498"/>
      <c r="P57" s="1195"/>
      <c r="Q57" s="1196"/>
      <c r="R57" s="1195"/>
      <c r="S57" s="1201"/>
      <c r="T57" s="1204" t="s">
        <v>390</v>
      </c>
      <c r="U57" s="1203"/>
      <c r="V57" s="1203"/>
      <c r="W57" s="1203"/>
      <c r="X57" s="1203"/>
      <c r="Y57" s="1203"/>
      <c r="Z57" s="1203"/>
      <c r="AA57" s="1203"/>
      <c r="AB57" s="1203"/>
      <c r="AC57" s="1203"/>
      <c r="AD57" s="1203"/>
      <c r="AE57" s="1203"/>
      <c r="AF57" s="1203"/>
      <c r="AG57" s="1203"/>
      <c r="AH57" s="1203"/>
      <c r="AI57" s="1203"/>
      <c r="AJ57" s="1203"/>
      <c r="AK57" s="1203"/>
      <c r="AL57" s="1203"/>
      <c r="AM57" s="1203"/>
      <c r="AO57" s="1133"/>
      <c r="AP57" s="1133" t="str">
        <f t="shared" si="1"/>
        <v>Добавить наименование тарифа</v>
      </c>
      <c r="AQ57" s="1133"/>
      <c r="AR57" s="1133"/>
    </row>
    <row r="58" spans="1:44" ht="11.25" customHeight="1">
      <c r="M58" s="1494"/>
      <c r="N58" s="1494"/>
      <c r="O58" s="1498"/>
      <c r="P58" s="1494"/>
      <c r="Q58" s="1494"/>
      <c r="R58" s="1494"/>
      <c r="S58" s="1494"/>
      <c r="AN58" s="1494"/>
      <c r="AO58" s="1494"/>
      <c r="AP58" s="1494"/>
      <c r="AQ58" s="1494"/>
      <c r="AR58" s="1494"/>
    </row>
    <row r="59" spans="1:44" ht="27" customHeight="1">
      <c r="O59" s="1498"/>
      <c r="S59" s="1135"/>
      <c r="T59" s="16144"/>
      <c r="U59" s="16144"/>
      <c r="V59" s="16144"/>
      <c r="W59" s="16144"/>
      <c r="X59" s="16144"/>
      <c r="Y59" s="16144"/>
      <c r="Z59" s="16144"/>
      <c r="AA59" s="16144"/>
      <c r="AB59" s="16144"/>
      <c r="AC59" s="16144"/>
      <c r="AD59" s="16144"/>
      <c r="AE59" s="16144"/>
      <c r="AF59" s="16144"/>
      <c r="AG59" s="16144"/>
      <c r="AH59" s="16144"/>
      <c r="AI59" s="16144"/>
      <c r="AJ59" s="16144"/>
      <c r="AK59" s="16144"/>
      <c r="AL59" s="16144"/>
      <c r="AM59" s="16144"/>
    </row>
    <row r="60" spans="1:44" ht="62.25" customHeight="1">
      <c r="O60" s="1498"/>
      <c r="T60" s="16144"/>
      <c r="U60" s="16144"/>
      <c r="V60" s="16144"/>
      <c r="W60" s="16144"/>
      <c r="X60" s="16144"/>
      <c r="Y60" s="16144"/>
      <c r="Z60" s="16144"/>
      <c r="AA60" s="16144"/>
      <c r="AB60" s="16144"/>
      <c r="AC60" s="16144"/>
      <c r="AD60" s="16144"/>
      <c r="AE60" s="16144"/>
      <c r="AF60" s="16144"/>
      <c r="AG60" s="16144"/>
      <c r="AH60" s="16144"/>
      <c r="AI60" s="16144"/>
      <c r="AJ60" s="16144"/>
      <c r="AK60" s="16144"/>
      <c r="AL60" s="16144"/>
      <c r="AM60" s="16144"/>
    </row>
    <row r="61" spans="1:44" ht="14.25" customHeight="1">
      <c r="O61" s="1498"/>
    </row>
    <row r="62" spans="1:44" ht="18" customHeight="1">
      <c r="O62" s="1498"/>
      <c r="S62" s="1135"/>
      <c r="T62" s="16144"/>
      <c r="U62" s="16144"/>
      <c r="V62" s="16144"/>
      <c r="W62" s="16144"/>
      <c r="X62" s="16144"/>
      <c r="Y62" s="16144"/>
      <c r="Z62" s="16144"/>
      <c r="AA62" s="16144"/>
      <c r="AB62" s="16144"/>
      <c r="AC62" s="16144"/>
      <c r="AD62" s="16144"/>
      <c r="AE62" s="16144"/>
      <c r="AF62" s="16144"/>
      <c r="AG62" s="16144"/>
      <c r="AH62" s="16144"/>
      <c r="AI62" s="16144"/>
      <c r="AJ62" s="16144"/>
      <c r="AK62" s="16144"/>
      <c r="AL62" s="16144"/>
      <c r="AM62" s="16144"/>
    </row>
    <row r="63" spans="1:44" ht="18" customHeight="1">
      <c r="O63" s="1498"/>
      <c r="T63" s="16144"/>
      <c r="U63" s="16144"/>
      <c r="V63" s="16144"/>
      <c r="W63" s="16144"/>
      <c r="X63" s="16144"/>
      <c r="Y63" s="16144"/>
      <c r="Z63" s="16144"/>
      <c r="AA63" s="16144"/>
      <c r="AB63" s="16144"/>
      <c r="AC63" s="16144"/>
      <c r="AD63" s="16144"/>
      <c r="AE63" s="16144"/>
      <c r="AF63" s="16144"/>
      <c r="AG63" s="16144"/>
      <c r="AH63" s="16144"/>
      <c r="AI63" s="16144"/>
      <c r="AJ63" s="16144"/>
      <c r="AK63" s="16144"/>
      <c r="AL63" s="16144"/>
      <c r="AM63" s="16144"/>
    </row>
    <row r="64" spans="1:44" ht="27.75" customHeight="1">
      <c r="O64" s="1498"/>
      <c r="S64" s="1135"/>
      <c r="T64" s="16144"/>
      <c r="U64" s="16144"/>
      <c r="V64" s="16144"/>
      <c r="W64" s="16144"/>
      <c r="X64" s="16144"/>
      <c r="Y64" s="16144"/>
      <c r="Z64" s="16144"/>
      <c r="AA64" s="16144"/>
      <c r="AB64" s="16144"/>
      <c r="AC64" s="16144"/>
      <c r="AD64" s="16144"/>
      <c r="AE64" s="16144"/>
      <c r="AF64" s="16144"/>
      <c r="AG64" s="16144"/>
      <c r="AH64" s="16144"/>
      <c r="AI64" s="16144"/>
      <c r="AJ64" s="16144"/>
      <c r="AK64" s="16144"/>
      <c r="AL64" s="16144"/>
      <c r="AM64" s="16144"/>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2" style="14419" hidden="1" customWidth="1"/>
    <col min="10" max="10" width="9.85546875" style="14419" hidden="1" customWidth="1"/>
    <col min="11" max="11" width="11.42578125" style="14419" hidden="1" customWidth="1"/>
    <col min="12" max="12" width="19.140625" style="14422" hidden="1" customWidth="1"/>
    <col min="13" max="14" width="12.28515625" style="14423" hidden="1" customWidth="1"/>
    <col min="15" max="15" width="23.42578125" style="14423" hidden="1" customWidth="1"/>
    <col min="16" max="16" width="3.7109375" style="14428" customWidth="1"/>
    <col min="17" max="18" width="3.7109375" style="14425" customWidth="1"/>
    <col min="19" max="19" width="12.7109375" style="14426" customWidth="1"/>
    <col min="20" max="20" width="32" style="14427" customWidth="1"/>
    <col min="21" max="21" width="0.7109375" style="14427" hidden="1" customWidth="1"/>
    <col min="22" max="22" width="1.7109375" style="14427" hidden="1" customWidth="1"/>
    <col min="23" max="23" width="24.7109375" style="14427" hidden="1" customWidth="1"/>
    <col min="24" max="25" width="0.140625" style="14427" hidden="1" customWidth="1"/>
    <col min="26" max="26" width="11.7109375" style="14427" hidden="1" customWidth="1"/>
    <col min="27" max="27" width="3.7109375" style="14427" hidden="1" customWidth="1"/>
    <col min="28" max="28" width="11.7109375" style="14427" hidden="1" customWidth="1"/>
    <col min="29" max="29" width="8.5703125" style="14427" hidden="1" customWidth="1"/>
    <col min="30" max="30" width="0.140625" style="14427" customWidth="1"/>
    <col min="31" max="31" width="24.7109375" style="14427" customWidth="1"/>
    <col min="32" max="33" width="0.140625" style="14427" customWidth="1"/>
    <col min="34" max="34" width="11.7109375" style="14427" customWidth="1"/>
    <col min="35" max="35" width="3.7109375" style="14427" customWidth="1"/>
    <col min="36" max="36" width="11.7109375" style="14427" customWidth="1"/>
    <col min="37" max="37" width="8.5703125" style="14427" hidden="1" customWidth="1"/>
    <col min="38" max="38" width="4.7109375" style="14427" customWidth="1"/>
    <col min="39" max="39" width="115.7109375" style="14427" customWidth="1"/>
    <col min="40" max="41" width="10.5703125" style="14421"/>
    <col min="42" max="42" width="11.140625" style="14421" customWidth="1"/>
    <col min="43" max="44" width="10.5703125" style="14421"/>
  </cols>
  <sheetData>
    <row r="1" spans="1:44" ht="14.25" hidden="1" customHeight="1">
      <c r="Y1" s="244"/>
      <c r="Z1" s="244"/>
      <c r="AG1" s="244"/>
      <c r="AH1" s="244"/>
    </row>
    <row r="2" spans="1:44" ht="21" hidden="1" customHeight="1">
      <c r="A2" s="1240"/>
      <c r="B2" s="1240"/>
      <c r="C2" s="1240"/>
      <c r="D2" s="1240"/>
      <c r="E2" s="16124">
        <v>1</v>
      </c>
      <c r="F2" s="1240"/>
      <c r="G2" s="1240"/>
      <c r="H2" s="1240"/>
      <c r="I2" s="1240"/>
      <c r="J2" s="1240"/>
      <c r="K2" s="1240"/>
      <c r="L2" s="1241"/>
      <c r="M2" s="1242"/>
      <c r="N2" s="1242"/>
      <c r="O2" s="1242"/>
      <c r="P2" s="277"/>
      <c r="Q2" s="276"/>
      <c r="R2" s="271"/>
      <c r="S2" s="1214" t="e">
        <f>INDEX(PT_DIFFERENTIATION_NUM_NTAR,MATCH(A2,PT_DIFFERENTIATION_NTAR_ID,0))</f>
        <v>#N/A</v>
      </c>
      <c r="T2" s="215" t="s">
        <v>158</v>
      </c>
      <c r="U2" s="217"/>
      <c r="V2" s="16110"/>
      <c r="W2" s="16111"/>
      <c r="X2" s="16111"/>
      <c r="Y2" s="16111"/>
      <c r="Z2" s="16111"/>
      <c r="AA2" s="16111"/>
      <c r="AB2" s="16111"/>
      <c r="AC2" s="16112"/>
      <c r="AD2" s="16110" t="e">
        <f>INDEX(PT_DIFFERENTIATION_NTAR,MATCH(A2,PT_DIFFERENTIATION_NTAR_ID,0))</f>
        <v>#N/A</v>
      </c>
      <c r="AE2" s="16111"/>
      <c r="AF2" s="16111"/>
      <c r="AG2" s="16111"/>
      <c r="AH2" s="16111"/>
      <c r="AI2" s="16111"/>
      <c r="AJ2" s="16111"/>
      <c r="AK2" s="16111"/>
      <c r="AL2" s="16112"/>
      <c r="AM2" s="1140" t="s">
        <v>533</v>
      </c>
      <c r="AO2" s="407"/>
      <c r="AP2" s="407" t="str">
        <f t="shared" ref="AP2:AP15" si="0">IF(T2="","",T2)</f>
        <v>Наименование тарифа</v>
      </c>
      <c r="AQ2" s="407"/>
      <c r="AR2" s="407"/>
    </row>
    <row r="3" spans="1:44" ht="21" hidden="1" customHeight="1">
      <c r="A3" s="1240"/>
      <c r="B3" s="1240"/>
      <c r="C3" s="1240"/>
      <c r="D3" s="1240"/>
      <c r="E3" s="16125"/>
      <c r="F3" s="16124">
        <v>1</v>
      </c>
      <c r="G3" s="1240"/>
      <c r="H3" s="1240"/>
      <c r="I3" s="1240"/>
      <c r="J3" s="1240"/>
      <c r="K3" s="1240"/>
      <c r="L3" s="1241"/>
      <c r="M3" s="1242"/>
      <c r="N3" s="1242"/>
      <c r="O3" s="1242"/>
      <c r="P3" s="1210"/>
      <c r="Q3" s="268"/>
      <c r="R3" s="269"/>
      <c r="S3" s="1214" t="e">
        <f>INDEX(PT_DIFFERENTIATION_NUM_TER,MATCH(B3,PT_DIFFERENTIATION_TER_ID,0))</f>
        <v>#N/A</v>
      </c>
      <c r="T3" s="225" t="s">
        <v>534</v>
      </c>
      <c r="U3" s="217"/>
      <c r="V3" s="16110"/>
      <c r="W3" s="16111"/>
      <c r="X3" s="16111"/>
      <c r="Y3" s="16111"/>
      <c r="Z3" s="16111"/>
      <c r="AA3" s="16111"/>
      <c r="AB3" s="16111"/>
      <c r="AC3" s="16112"/>
      <c r="AD3" s="16110" t="e">
        <f>INDEX(PT_DIFFERENTIATION_TER,MATCH(B3,PT_DIFFERENTIATION_TER_ID,0))</f>
        <v>#N/A</v>
      </c>
      <c r="AE3" s="16111"/>
      <c r="AF3" s="16111"/>
      <c r="AG3" s="16111"/>
      <c r="AH3" s="16111"/>
      <c r="AI3" s="16111"/>
      <c r="AJ3" s="16111"/>
      <c r="AK3" s="16111"/>
      <c r="AL3" s="16112"/>
      <c r="AM3" s="1140" t="s">
        <v>535</v>
      </c>
      <c r="AO3" s="407"/>
      <c r="AP3" s="407" t="str">
        <f t="shared" si="0"/>
        <v>Территория действия тарифа</v>
      </c>
      <c r="AQ3" s="407"/>
      <c r="AR3" s="407"/>
    </row>
    <row r="4" spans="1:44" ht="23.25" hidden="1" customHeight="1">
      <c r="A4" s="1240"/>
      <c r="B4" s="1240"/>
      <c r="C4" s="1240"/>
      <c r="D4" s="1240"/>
      <c r="E4" s="16125"/>
      <c r="F4" s="16125"/>
      <c r="G4" s="16124">
        <v>1</v>
      </c>
      <c r="H4" s="1240"/>
      <c r="I4" s="1240"/>
      <c r="J4" s="1240"/>
      <c r="K4" s="1240"/>
      <c r="L4" s="1241"/>
      <c r="M4" s="1242"/>
      <c r="N4" s="1242"/>
      <c r="O4" s="1242"/>
      <c r="P4" s="270"/>
      <c r="Q4" s="268"/>
      <c r="R4" s="269"/>
      <c r="S4" s="1214" t="e">
        <f>INDEX(PT_DIFFERENTIATION_NUM_CS,MATCH(C4,PT_DIFFERENTIATION_CS_ID,0))</f>
        <v>#N/A</v>
      </c>
      <c r="T4" s="226" t="s">
        <v>536</v>
      </c>
      <c r="U4" s="217"/>
      <c r="V4" s="16110"/>
      <c r="W4" s="16111"/>
      <c r="X4" s="16111"/>
      <c r="Y4" s="16111"/>
      <c r="Z4" s="16111"/>
      <c r="AA4" s="16111"/>
      <c r="AB4" s="16111"/>
      <c r="AC4" s="16112"/>
      <c r="AD4" s="16110" t="e">
        <f>INDEX(PT_DIFFERENTIATION_CS,MATCH(C4,PT_DIFFERENTIATION_CS_ID,0))</f>
        <v>#N/A</v>
      </c>
      <c r="AE4" s="16111"/>
      <c r="AF4" s="16111"/>
      <c r="AG4" s="16111"/>
      <c r="AH4" s="16111"/>
      <c r="AI4" s="16111"/>
      <c r="AJ4" s="16111"/>
      <c r="AK4" s="16111"/>
      <c r="AL4" s="16112"/>
      <c r="AM4" s="1140" t="s">
        <v>537</v>
      </c>
      <c r="AO4" s="407"/>
      <c r="AP4" s="407" t="str">
        <f t="shared" si="0"/>
        <v xml:space="preserve">Наименование системы теплоснабжения </v>
      </c>
      <c r="AQ4" s="407"/>
      <c r="AR4" s="407"/>
    </row>
    <row r="5" spans="1:44" ht="21" hidden="1" customHeight="1">
      <c r="A5" s="1240"/>
      <c r="B5" s="1240"/>
      <c r="C5" s="1240"/>
      <c r="D5" s="1240"/>
      <c r="E5" s="16125"/>
      <c r="F5" s="16125"/>
      <c r="G5" s="16125"/>
      <c r="H5" s="16124">
        <v>1</v>
      </c>
      <c r="I5" s="1240"/>
      <c r="J5" s="1240"/>
      <c r="K5" s="1240"/>
      <c r="L5" s="1241"/>
      <c r="M5" s="1242"/>
      <c r="N5" s="1242"/>
      <c r="O5" s="1242"/>
      <c r="P5" s="270"/>
      <c r="Q5" s="268"/>
      <c r="R5" s="269"/>
      <c r="S5" s="1214" t="e">
        <f>INDEX(PT_DIFFERENTIATION_NUM_IST_TE,MATCH(D5,PT_DIFFERENTIATION_IST_TE_ID,0))</f>
        <v>#N/A</v>
      </c>
      <c r="T5" s="227" t="s">
        <v>538</v>
      </c>
      <c r="U5" s="217"/>
      <c r="V5" s="16110"/>
      <c r="W5" s="16111"/>
      <c r="X5" s="16111"/>
      <c r="Y5" s="16111"/>
      <c r="Z5" s="16111"/>
      <c r="AA5" s="16111"/>
      <c r="AB5" s="16111"/>
      <c r="AC5" s="16112"/>
      <c r="AD5" s="16110" t="e">
        <f>INDEX(PT_DIFFERENTIATION_IST_TE,MATCH(D5,PT_DIFFERENTIATION_IST_TE_ID,0))</f>
        <v>#N/A</v>
      </c>
      <c r="AE5" s="16111"/>
      <c r="AF5" s="16111"/>
      <c r="AG5" s="16111"/>
      <c r="AH5" s="16111"/>
      <c r="AI5" s="16111"/>
      <c r="AJ5" s="16111"/>
      <c r="AK5" s="16111"/>
      <c r="AL5" s="16112"/>
      <c r="AM5" s="1140" t="s">
        <v>539</v>
      </c>
      <c r="AO5" s="407"/>
      <c r="AP5" s="407" t="str">
        <f t="shared" si="0"/>
        <v xml:space="preserve">Источник тепловой энергии  </v>
      </c>
      <c r="AQ5" s="407"/>
      <c r="AR5" s="407"/>
    </row>
    <row r="6" spans="1:44" ht="47.25" hidden="1" customHeight="1">
      <c r="A6" s="1240"/>
      <c r="B6" s="1240"/>
      <c r="C6" s="1240"/>
      <c r="D6" s="1240"/>
      <c r="E6" s="16125"/>
      <c r="F6" s="16125"/>
      <c r="G6" s="16125"/>
      <c r="H6" s="16125"/>
      <c r="I6" s="16122" t="e">
        <f>S5&amp;".1"</f>
        <v>#N/A</v>
      </c>
      <c r="J6" s="1240"/>
      <c r="K6" s="1240"/>
      <c r="L6" s="1241" t="s">
        <v>540</v>
      </c>
      <c r="M6" s="443"/>
      <c r="P6" s="16123">
        <v>1</v>
      </c>
      <c r="Q6" s="1209"/>
      <c r="R6" s="272"/>
      <c r="S6" s="1214" t="e">
        <f>$I6</f>
        <v>#N/A</v>
      </c>
      <c r="T6" s="202" t="s">
        <v>541</v>
      </c>
      <c r="U6" s="217"/>
      <c r="V6" s="16113"/>
      <c r="W6" s="16114"/>
      <c r="X6" s="16114"/>
      <c r="Y6" s="16114"/>
      <c r="Z6" s="16114"/>
      <c r="AA6" s="16114"/>
      <c r="AB6" s="16114"/>
      <c r="AC6" s="16115"/>
      <c r="AD6" s="16113"/>
      <c r="AE6" s="16114"/>
      <c r="AF6" s="16114"/>
      <c r="AG6" s="16114"/>
      <c r="AH6" s="16114"/>
      <c r="AI6" s="16114"/>
      <c r="AJ6" s="16114"/>
      <c r="AK6" s="16114"/>
      <c r="AL6" s="16115"/>
      <c r="AM6" s="1140" t="s">
        <v>542</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0"/>
      <c r="B7" s="1240"/>
      <c r="C7" s="1240"/>
      <c r="D7" s="1240"/>
      <c r="E7" s="16125"/>
      <c r="F7" s="16125"/>
      <c r="G7" s="16125"/>
      <c r="H7" s="16125"/>
      <c r="I7" s="16145"/>
      <c r="J7" s="16122" t="e">
        <f>I6&amp;".1"</f>
        <v>#N/A</v>
      </c>
      <c r="K7" s="1240"/>
      <c r="L7" s="1241" t="s">
        <v>543</v>
      </c>
      <c r="M7" s="443"/>
      <c r="N7" s="1243"/>
      <c r="P7" s="16123"/>
      <c r="Q7" s="16123">
        <v>1</v>
      </c>
      <c r="R7" s="273"/>
      <c r="S7" s="1214" t="e">
        <f>$J7</f>
        <v>#N/A</v>
      </c>
      <c r="T7" s="203" t="s">
        <v>544</v>
      </c>
      <c r="U7" s="217"/>
      <c r="V7" s="16113"/>
      <c r="W7" s="16114"/>
      <c r="X7" s="16114"/>
      <c r="Y7" s="16114"/>
      <c r="Z7" s="16114"/>
      <c r="AA7" s="16114"/>
      <c r="AB7" s="16114"/>
      <c r="AC7" s="16115"/>
      <c r="AD7" s="16113"/>
      <c r="AE7" s="16114"/>
      <c r="AF7" s="16114"/>
      <c r="AG7" s="16114"/>
      <c r="AH7" s="16114"/>
      <c r="AI7" s="16114"/>
      <c r="AJ7" s="16114"/>
      <c r="AK7" s="16114"/>
      <c r="AL7" s="16115"/>
      <c r="AM7" s="1140" t="s">
        <v>545</v>
      </c>
      <c r="AO7" s="407"/>
      <c r="AP7" s="407" t="str">
        <f t="shared" si="0"/>
        <v>Группа потребителей</v>
      </c>
      <c r="AQ7" s="407"/>
      <c r="AR7" s="407"/>
    </row>
    <row r="8" spans="1:44" ht="21" hidden="1" customHeight="1">
      <c r="A8" s="1240"/>
      <c r="B8" s="1240"/>
      <c r="C8" s="1240"/>
      <c r="D8" s="1240"/>
      <c r="E8" s="16125"/>
      <c r="F8" s="16125"/>
      <c r="G8" s="16125"/>
      <c r="H8" s="16125"/>
      <c r="I8" s="16145"/>
      <c r="J8" s="16145"/>
      <c r="K8" s="16122" t="e">
        <f>J7&amp;".1"</f>
        <v>#N/A</v>
      </c>
      <c r="L8" s="1241" t="s">
        <v>546</v>
      </c>
      <c r="M8" s="443"/>
      <c r="N8" s="1243"/>
      <c r="O8" s="1243"/>
      <c r="P8" s="16123"/>
      <c r="Q8" s="16123"/>
      <c r="R8" s="273">
        <v>1</v>
      </c>
      <c r="S8" s="1214" t="e">
        <f>$K8</f>
        <v>#N/A</v>
      </c>
      <c r="T8" s="1225"/>
      <c r="U8" s="217"/>
      <c r="V8" s="242"/>
      <c r="W8" s="649"/>
      <c r="X8" s="242"/>
      <c r="Y8" s="299"/>
      <c r="Z8" s="16127"/>
      <c r="AA8" s="15973" t="s">
        <v>66</v>
      </c>
      <c r="AB8" s="16127"/>
      <c r="AC8" s="15973" t="s">
        <v>66</v>
      </c>
      <c r="AD8" s="242"/>
      <c r="AE8" s="649"/>
      <c r="AF8" s="242"/>
      <c r="AG8" s="299"/>
      <c r="AH8" s="16127"/>
      <c r="AI8" s="15973" t="s">
        <v>66</v>
      </c>
      <c r="AJ8" s="16127"/>
      <c r="AK8" s="15973" t="s">
        <v>66</v>
      </c>
      <c r="AL8" s="242"/>
      <c r="AM8" s="16119" t="s">
        <v>547</v>
      </c>
      <c r="AN8" s="418" t="e">
        <f ca="1">STRCHECKDATE(V9:AL9)</f>
        <v>#NAME?</v>
      </c>
      <c r="AO8" s="407"/>
      <c r="AP8" s="407" t="str">
        <f t="shared" si="0"/>
        <v/>
      </c>
      <c r="AQ8" s="407"/>
      <c r="AR8" s="407"/>
    </row>
    <row r="9" spans="1:44" ht="0.75" hidden="1" customHeight="1">
      <c r="A9" s="1240"/>
      <c r="B9" s="1240"/>
      <c r="C9" s="1240"/>
      <c r="D9" s="1240"/>
      <c r="E9" s="16125"/>
      <c r="F9" s="16125"/>
      <c r="G9" s="16125"/>
      <c r="H9" s="16125"/>
      <c r="I9" s="16145"/>
      <c r="J9" s="16145"/>
      <c r="K9" s="16122"/>
      <c r="L9" s="1241"/>
      <c r="M9" s="443"/>
      <c r="N9" s="1243"/>
      <c r="O9" s="1243"/>
      <c r="P9" s="16123"/>
      <c r="Q9" s="16123"/>
      <c r="R9" s="273"/>
      <c r="S9" s="1220"/>
      <c r="T9" s="217"/>
      <c r="U9" s="217"/>
      <c r="V9" s="242"/>
      <c r="W9" s="242"/>
      <c r="X9" s="242"/>
      <c r="Y9" s="245" t="str">
        <f>Z8&amp;"-"&amp;AB8</f>
        <v>-</v>
      </c>
      <c r="Z9" s="16128"/>
      <c r="AA9" s="15973"/>
      <c r="AB9" s="16128"/>
      <c r="AC9" s="15973"/>
      <c r="AD9" s="242"/>
      <c r="AE9" s="242"/>
      <c r="AF9" s="242"/>
      <c r="AG9" s="245" t="str">
        <f>AH8&amp;"-"&amp;AJ8</f>
        <v>-</v>
      </c>
      <c r="AH9" s="16128"/>
      <c r="AI9" s="15973"/>
      <c r="AJ9" s="16128"/>
      <c r="AK9" s="15973"/>
      <c r="AL9" s="242"/>
      <c r="AM9" s="16120"/>
      <c r="AO9" s="407"/>
      <c r="AP9" s="407" t="str">
        <f t="shared" si="0"/>
        <v/>
      </c>
      <c r="AQ9" s="407"/>
      <c r="AR9" s="407"/>
    </row>
    <row r="10" spans="1:44" ht="15" hidden="1" customHeight="1">
      <c r="A10" s="1240"/>
      <c r="B10" s="1240"/>
      <c r="C10" s="1240"/>
      <c r="D10" s="1240"/>
      <c r="E10" s="16125"/>
      <c r="F10" s="16125"/>
      <c r="G10" s="16125"/>
      <c r="H10" s="16125"/>
      <c r="I10" s="16145"/>
      <c r="J10" s="16122"/>
      <c r="K10" s="1240"/>
      <c r="L10" s="1241"/>
      <c r="M10" s="443"/>
      <c r="N10" s="1243"/>
      <c r="P10" s="16123"/>
      <c r="Q10" s="16123"/>
      <c r="R10" s="272"/>
      <c r="S10" s="1160"/>
      <c r="T10" s="205" t="s">
        <v>548</v>
      </c>
      <c r="U10" s="282"/>
      <c r="V10" s="282"/>
      <c r="W10" s="282"/>
      <c r="X10" s="282"/>
      <c r="Y10" s="282"/>
      <c r="Z10" s="282"/>
      <c r="AA10" s="282"/>
      <c r="AB10" s="282"/>
      <c r="AC10" s="282"/>
      <c r="AD10" s="282"/>
      <c r="AE10" s="282"/>
      <c r="AF10" s="282"/>
      <c r="AG10" s="282"/>
      <c r="AH10" s="282"/>
      <c r="AI10" s="282"/>
      <c r="AJ10" s="282"/>
      <c r="AK10" s="282"/>
      <c r="AL10" s="241"/>
      <c r="AM10" s="16121"/>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16125"/>
      <c r="F11" s="16125"/>
      <c r="G11" s="16125"/>
      <c r="H11" s="16125"/>
      <c r="I11" s="16122"/>
      <c r="J11" s="1240"/>
      <c r="K11" s="1240"/>
      <c r="L11" s="1241"/>
      <c r="M11" s="443"/>
      <c r="P11" s="16123"/>
      <c r="Q11" s="1209"/>
      <c r="R11" s="272"/>
      <c r="S11" s="1160"/>
      <c r="T11" s="204" t="s">
        <v>549</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16125"/>
      <c r="F12" s="16125"/>
      <c r="G12" s="16125"/>
      <c r="H12" s="16124"/>
      <c r="I12" s="1240"/>
      <c r="J12" s="1240"/>
      <c r="K12" s="1240"/>
      <c r="L12" s="1241"/>
      <c r="M12" s="1242"/>
      <c r="N12" s="1242"/>
      <c r="O12" s="443"/>
      <c r="P12" s="276"/>
      <c r="Q12" s="290"/>
      <c r="R12" s="271"/>
      <c r="S12" s="1160"/>
      <c r="T12" s="280" t="s">
        <v>550</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4418" customFormat="1" ht="0.75" hidden="1" customHeight="1">
      <c r="A13" s="1193"/>
      <c r="B13" s="1193"/>
      <c r="C13" s="1193"/>
      <c r="D13" s="1193"/>
      <c r="E13" s="16125"/>
      <c r="F13" s="16125"/>
      <c r="G13" s="16124"/>
      <c r="H13" s="1193"/>
      <c r="I13" s="1193"/>
      <c r="J13" s="1193"/>
      <c r="K13" s="1193"/>
      <c r="L13" s="1217"/>
      <c r="M13" s="1194"/>
      <c r="N13" s="1194"/>
      <c r="P13" s="1195"/>
      <c r="Q13" s="1196"/>
      <c r="R13" s="1195"/>
      <c r="S13" s="1197"/>
      <c r="T13" s="1198" t="s">
        <v>551</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4418" customFormat="1" ht="0.75" hidden="1" customHeight="1">
      <c r="A14" s="1193"/>
      <c r="B14" s="1193"/>
      <c r="C14" s="1193"/>
      <c r="D14" s="1193"/>
      <c r="E14" s="16125"/>
      <c r="F14" s="16124"/>
      <c r="G14" s="1193"/>
      <c r="H14" s="1193"/>
      <c r="I14" s="1193"/>
      <c r="J14" s="1193"/>
      <c r="K14" s="1193"/>
      <c r="L14" s="1217"/>
      <c r="M14" s="1200"/>
      <c r="N14" s="1200"/>
      <c r="P14" s="1195"/>
      <c r="Q14" s="1196"/>
      <c r="R14" s="1195"/>
      <c r="S14" s="1201"/>
      <c r="T14" s="1202" t="s">
        <v>290</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4418" customFormat="1" ht="0.75" hidden="1" customHeight="1">
      <c r="A15" s="1193"/>
      <c r="B15" s="1193"/>
      <c r="C15" s="1193"/>
      <c r="D15" s="1193"/>
      <c r="E15" s="16124"/>
      <c r="F15" s="1193"/>
      <c r="G15" s="1193"/>
      <c r="H15" s="1193"/>
      <c r="I15" s="1193"/>
      <c r="J15" s="1193"/>
      <c r="K15" s="1193"/>
      <c r="L15" s="1217"/>
      <c r="M15" s="1200"/>
      <c r="N15" s="1200"/>
      <c r="P15" s="1195"/>
      <c r="Q15" s="1196"/>
      <c r="R15" s="1195"/>
      <c r="S15" s="1201"/>
      <c r="T15" s="1204" t="s">
        <v>326</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16129"/>
      <c r="AI17" s="16130" t="s">
        <v>66</v>
      </c>
      <c r="AJ17" s="16129"/>
      <c r="AK17" s="16130" t="s">
        <v>66</v>
      </c>
    </row>
    <row r="18" spans="1:44" ht="14.25" hidden="1" customHeight="1">
      <c r="AD18" s="1237"/>
      <c r="AE18" s="1237"/>
      <c r="AF18" s="1237"/>
      <c r="AG18" s="245" t="str">
        <f>AH17&amp;"-"&amp;AJ17</f>
        <v>-</v>
      </c>
      <c r="AH18" s="16130"/>
      <c r="AI18" s="16130"/>
      <c r="AJ18" s="16130"/>
      <c r="AK18" s="16130"/>
    </row>
    <row r="19" spans="1:44" ht="14.25" hidden="1" customHeight="1">
      <c r="AK19" s="244"/>
    </row>
    <row r="20" spans="1:44" s="14419" customFormat="1" ht="22.5" hidden="1" customHeight="1">
      <c r="L20" s="1207"/>
      <c r="M20" s="1239"/>
      <c r="N20" s="1239"/>
      <c r="O20" s="1244" t="s">
        <v>552</v>
      </c>
      <c r="P20" s="1239"/>
      <c r="Q20" s="1248"/>
      <c r="R20" s="1248"/>
      <c r="S20" s="629"/>
      <c r="Z20" s="1244"/>
      <c r="AB20" s="1244"/>
      <c r="AC20" s="1243"/>
      <c r="AH20" s="1244"/>
      <c r="AJ20" s="1244"/>
      <c r="AK20" s="1243"/>
      <c r="AN20" s="418"/>
      <c r="AO20" s="418"/>
      <c r="AP20" s="418"/>
      <c r="AQ20" s="418"/>
      <c r="AR20" s="418"/>
    </row>
    <row r="21" spans="1:44" s="14419" customFormat="1" ht="14.25" hidden="1" customHeight="1">
      <c r="L21" s="1207"/>
      <c r="M21" s="1239"/>
      <c r="N21" s="1239"/>
      <c r="O21" s="1239"/>
      <c r="P21" s="1239"/>
      <c r="Q21" s="1248"/>
      <c r="R21" s="1248"/>
      <c r="S21" s="629"/>
      <c r="AC21" s="1243"/>
      <c r="AK21" s="1243"/>
      <c r="AN21" s="418"/>
      <c r="AO21" s="418"/>
      <c r="AP21" s="418"/>
      <c r="AQ21" s="418"/>
      <c r="AR21" s="418"/>
    </row>
    <row r="22" spans="1:44" s="14419" customFormat="1" ht="33.75" hidden="1" customHeight="1">
      <c r="L22" s="1207"/>
      <c r="M22" s="1239"/>
      <c r="N22" s="1239"/>
      <c r="O22" s="1241" t="s">
        <v>553</v>
      </c>
      <c r="P22" s="1239"/>
      <c r="Q22" s="1248"/>
      <c r="R22" s="1248"/>
      <c r="S22" s="629"/>
      <c r="T22" s="1041" t="s">
        <v>554</v>
      </c>
      <c r="AA22" s="108" t="s">
        <v>555</v>
      </c>
      <c r="AC22" s="108" t="s">
        <v>556</v>
      </c>
      <c r="AD22" s="1041" t="s">
        <v>554</v>
      </c>
      <c r="AI22" s="108" t="s">
        <v>557</v>
      </c>
      <c r="AK22" s="108" t="s">
        <v>556</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1610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6108"/>
      <c r="U26" s="16108"/>
      <c r="V26" s="16108"/>
      <c r="W26" s="16108"/>
      <c r="X26" s="16108"/>
      <c r="Y26" s="16108"/>
      <c r="Z26" s="16108"/>
      <c r="AA26" s="16108"/>
      <c r="AB26" s="16108"/>
      <c r="AC26" s="16108"/>
      <c r="AD26" s="16108"/>
      <c r="AE26" s="16108"/>
      <c r="AF26" s="16108"/>
      <c r="AG26" s="16108"/>
      <c r="AH26" s="16108"/>
      <c r="AI26" s="16108"/>
      <c r="AJ26" s="16108"/>
      <c r="AK26" s="1125"/>
    </row>
    <row r="27" spans="1:44" ht="14.25" customHeight="1">
      <c r="Q27" s="291"/>
      <c r="R27" s="291"/>
      <c r="S27" s="16056" t="str">
        <f>IF(org=0,"Не определено",org)</f>
        <v>АО "Мурманэнергосбыт"</v>
      </c>
      <c r="T27" s="16056"/>
      <c r="U27" s="16056"/>
      <c r="V27" s="16056"/>
      <c r="W27" s="16056"/>
      <c r="X27" s="16056"/>
      <c r="Y27" s="16056"/>
      <c r="Z27" s="16056"/>
      <c r="AA27" s="16056"/>
      <c r="AB27" s="16056"/>
      <c r="AC27" s="16056"/>
      <c r="AD27" s="16056"/>
      <c r="AE27" s="16056"/>
      <c r="AF27" s="16056"/>
      <c r="AG27" s="16056"/>
      <c r="AH27" s="16056"/>
      <c r="AI27" s="16056"/>
      <c r="AJ27" s="16056"/>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4420" customFormat="1" ht="25.5" customHeight="1">
      <c r="A29" s="1245"/>
      <c r="B29" s="1245"/>
      <c r="C29" s="1245"/>
      <c r="D29" s="1245"/>
      <c r="E29" s="1245"/>
      <c r="F29" s="1245"/>
      <c r="G29" s="1245"/>
      <c r="H29" s="1245"/>
      <c r="I29" s="1245"/>
      <c r="J29" s="1245"/>
      <c r="K29" s="1245"/>
      <c r="L29" s="1246"/>
      <c r="M29" s="1245"/>
      <c r="N29" s="1245"/>
      <c r="O29" s="1245"/>
      <c r="S29" s="16116" t="s">
        <v>38</v>
      </c>
      <c r="T29" s="16116"/>
      <c r="U29" s="1249"/>
      <c r="V29" s="16117" t="str">
        <f>IF(TITLE_NAME_OR_PR_CHANGE="",IF(TITLE_NAME_OR_PR="","",TITLE_NAME_OR_PR),TITLE_NAME_OR_PR_CHANGE)</f>
        <v>Комитет по тарифному регулированию Мурманской области</v>
      </c>
      <c r="W29" s="16117"/>
      <c r="X29" s="16117"/>
      <c r="Y29" s="16117"/>
      <c r="Z29" s="16117"/>
      <c r="AA29" s="16117"/>
      <c r="AB29" s="16117"/>
      <c r="AC29" s="243"/>
      <c r="AD29" s="16117" t="str">
        <f>IF(TITLE_NAME_OR_PR_CHANGE="",IF(TITLE_NAME_OR_PR="","",TITLE_NAME_OR_PR),TITLE_NAME_OR_PR_CHANGE)</f>
        <v>Комитет по тарифному регулированию Мурманской области</v>
      </c>
      <c r="AE29" s="16117"/>
      <c r="AF29" s="16117"/>
      <c r="AG29" s="16117"/>
      <c r="AH29" s="16117"/>
      <c r="AI29" s="16117"/>
      <c r="AJ29" s="16117"/>
      <c r="AK29" s="243"/>
      <c r="AL29" s="243"/>
      <c r="AM29" s="198"/>
      <c r="AN29" s="283"/>
      <c r="AO29" s="283"/>
      <c r="AP29" s="283"/>
      <c r="AQ29" s="283"/>
      <c r="AR29" s="283"/>
    </row>
    <row r="30" spans="1:44" s="14420" customFormat="1" ht="18.75" customHeight="1">
      <c r="A30" s="1245"/>
      <c r="B30" s="1245"/>
      <c r="C30" s="1245"/>
      <c r="D30" s="1245"/>
      <c r="E30" s="1245"/>
      <c r="F30" s="1245"/>
      <c r="G30" s="1245"/>
      <c r="H30" s="1245"/>
      <c r="I30" s="1245"/>
      <c r="J30" s="1245"/>
      <c r="K30" s="1245"/>
      <c r="L30" s="1246"/>
      <c r="M30" s="1245"/>
      <c r="N30" s="1245"/>
      <c r="O30" s="1245"/>
      <c r="S30" s="16116" t="s">
        <v>558</v>
      </c>
      <c r="T30" s="16116"/>
      <c r="U30" s="1249"/>
      <c r="V30" s="16126">
        <f>IF(TITLE_DATE_PR_CHANGE="",IF(TITLE_DATE_PR="","",TITLE_DATE_PR),TITLE_DATE_PR_CHANGE)</f>
        <v>45379</v>
      </c>
      <c r="W30" s="16126"/>
      <c r="X30" s="16126"/>
      <c r="Y30" s="16126"/>
      <c r="Z30" s="16126"/>
      <c r="AA30" s="16126"/>
      <c r="AB30" s="16126"/>
      <c r="AC30" s="243"/>
      <c r="AD30" s="16126">
        <f>IF(TITLE_DATE_PR_CHANGE="",IF(TITLE_DATE_PR="","",TITLE_DATE_PR),TITLE_DATE_PR_CHANGE)</f>
        <v>45379</v>
      </c>
      <c r="AE30" s="16126"/>
      <c r="AF30" s="16126"/>
      <c r="AG30" s="16126"/>
      <c r="AH30" s="16126"/>
      <c r="AI30" s="16126"/>
      <c r="AJ30" s="16126"/>
      <c r="AK30" s="243"/>
      <c r="AL30" s="243"/>
      <c r="AM30" s="198"/>
      <c r="AN30" s="283"/>
      <c r="AO30" s="283"/>
      <c r="AP30" s="283"/>
      <c r="AQ30" s="283"/>
      <c r="AR30" s="283"/>
    </row>
    <row r="31" spans="1:44" s="14420" customFormat="1" ht="18.75" customHeight="1">
      <c r="A31" s="1245"/>
      <c r="B31" s="1245"/>
      <c r="C31" s="1245"/>
      <c r="D31" s="1245"/>
      <c r="E31" s="1245"/>
      <c r="F31" s="1245"/>
      <c r="G31" s="1245"/>
      <c r="H31" s="1245"/>
      <c r="I31" s="1245"/>
      <c r="J31" s="1245"/>
      <c r="K31" s="1245"/>
      <c r="L31" s="1246"/>
      <c r="M31" s="1245"/>
      <c r="N31" s="1245"/>
      <c r="O31" s="1245"/>
      <c r="S31" s="16116" t="s">
        <v>559</v>
      </c>
      <c r="T31" s="16116"/>
      <c r="U31" s="1249"/>
      <c r="V31" s="16117" t="str">
        <f>IF(TITLE_NUMBER_PR_CHANGE="",IF(TITLE_NUMBER_PR="","",TITLE_NUMBER_PR),TITLE_NUMBER_PR_CHANGE)</f>
        <v>8/6</v>
      </c>
      <c r="W31" s="16117"/>
      <c r="X31" s="16117"/>
      <c r="Y31" s="16117"/>
      <c r="Z31" s="16117"/>
      <c r="AA31" s="16117"/>
      <c r="AB31" s="16117"/>
      <c r="AC31" s="243"/>
      <c r="AD31" s="16117" t="str">
        <f>IF(TITLE_NUMBER_PR_CHANGE="",IF(TITLE_NUMBER_PR="","",TITLE_NUMBER_PR),TITLE_NUMBER_PR_CHANGE)</f>
        <v>8/6</v>
      </c>
      <c r="AE31" s="16117"/>
      <c r="AF31" s="16117"/>
      <c r="AG31" s="16117"/>
      <c r="AH31" s="16117"/>
      <c r="AI31" s="16117"/>
      <c r="AJ31" s="16117"/>
      <c r="AK31" s="243"/>
      <c r="AL31" s="243"/>
      <c r="AM31" s="198"/>
      <c r="AN31" s="283"/>
      <c r="AO31" s="283"/>
      <c r="AP31" s="283"/>
      <c r="AQ31" s="283"/>
      <c r="AR31" s="283"/>
    </row>
    <row r="32" spans="1:44" s="14420" customFormat="1" ht="18.75" customHeight="1">
      <c r="A32" s="1245"/>
      <c r="B32" s="1245"/>
      <c r="C32" s="1245"/>
      <c r="D32" s="1245"/>
      <c r="E32" s="1245"/>
      <c r="F32" s="1245"/>
      <c r="G32" s="1245"/>
      <c r="H32" s="1245"/>
      <c r="I32" s="1245"/>
      <c r="J32" s="1245"/>
      <c r="K32" s="1245"/>
      <c r="L32" s="1246"/>
      <c r="M32" s="1245"/>
      <c r="N32" s="1245"/>
      <c r="O32" s="1245"/>
      <c r="S32" s="16116" t="s">
        <v>40</v>
      </c>
      <c r="T32" s="16116"/>
      <c r="U32" s="1249"/>
      <c r="V32" s="16117" t="str">
        <f>IF(TITLE_IST_PUB_CHANGE="",IF(TITLE_IST_PUB="","",TITLE_IST_PUB),TITLE_IST_PUB_CHANGE)</f>
        <v>https://npa.gov-murman.ru/bitrix/components/b1team/govmurman.element.file/download.php?ID=518761&amp;FID=765125</v>
      </c>
      <c r="W32" s="16117"/>
      <c r="X32" s="16117"/>
      <c r="Y32" s="16117"/>
      <c r="Z32" s="16117"/>
      <c r="AA32" s="16117"/>
      <c r="AB32" s="16117"/>
      <c r="AC32" s="243"/>
      <c r="AD32" s="16117" t="str">
        <f>IF(TITLE_IST_PUB_CHANGE="",IF(TITLE_IST_PUB="","",TITLE_IST_PUB),TITLE_IST_PUB_CHANGE)</f>
        <v>https://npa.gov-murman.ru/bitrix/components/b1team/govmurman.element.file/download.php?ID=518761&amp;FID=765125</v>
      </c>
      <c r="AE32" s="16117"/>
      <c r="AF32" s="16117"/>
      <c r="AG32" s="16117"/>
      <c r="AH32" s="16117"/>
      <c r="AI32" s="16117"/>
      <c r="AJ32" s="16117"/>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4420" customFormat="1" ht="18.75" hidden="1" customHeight="1">
      <c r="A34" s="1245"/>
      <c r="B34" s="1245"/>
      <c r="C34" s="1245"/>
      <c r="D34" s="1245"/>
      <c r="E34" s="1245"/>
      <c r="F34" s="1245"/>
      <c r="G34" s="1245"/>
      <c r="H34" s="1245"/>
      <c r="I34" s="1245"/>
      <c r="J34" s="1245"/>
      <c r="K34" s="1245"/>
      <c r="L34" s="1246"/>
      <c r="M34" s="1245"/>
      <c r="N34" s="1245"/>
      <c r="O34" s="1245"/>
      <c r="S34" s="16116" t="s">
        <v>560</v>
      </c>
      <c r="T34" s="16116"/>
      <c r="U34" s="1249"/>
      <c r="V34" s="16126">
        <f>IF(TITLE_DATE_PR_CHANGE="",IF(TITLE_DATE_PR="","",TITLE_DATE_PR),TITLE_DATE_PR_CHANGE)</f>
        <v>45379</v>
      </c>
      <c r="W34" s="16126"/>
      <c r="X34" s="16126"/>
      <c r="Y34" s="16126"/>
      <c r="Z34" s="16126"/>
      <c r="AA34" s="16126"/>
      <c r="AB34" s="16126"/>
      <c r="AC34" s="243"/>
      <c r="AD34" s="16126">
        <f>IF(TITLE_DATE_PR_CHANGE="",IF(TITLE_DATE_PR="","",TITLE_DATE_PR),TITLE_DATE_PR_CHANGE)</f>
        <v>45379</v>
      </c>
      <c r="AE34" s="16126"/>
      <c r="AF34" s="16126"/>
      <c r="AG34" s="16126"/>
      <c r="AH34" s="16126"/>
      <c r="AI34" s="16126"/>
      <c r="AJ34" s="16126"/>
      <c r="AK34" s="243"/>
      <c r="AL34" s="243"/>
      <c r="AM34" s="198"/>
      <c r="AN34" s="283"/>
      <c r="AO34" s="283"/>
      <c r="AP34" s="283"/>
      <c r="AQ34" s="283"/>
      <c r="AR34" s="283"/>
    </row>
    <row r="35" spans="1:44" s="14420" customFormat="1" ht="18.75" hidden="1" customHeight="1">
      <c r="A35" s="1245"/>
      <c r="B35" s="1245"/>
      <c r="C35" s="1245"/>
      <c r="D35" s="1245"/>
      <c r="E35" s="1245"/>
      <c r="F35" s="1245"/>
      <c r="G35" s="1245"/>
      <c r="H35" s="1245"/>
      <c r="I35" s="1245"/>
      <c r="J35" s="1245"/>
      <c r="K35" s="1245"/>
      <c r="L35" s="1246"/>
      <c r="M35" s="1245"/>
      <c r="N35" s="1245"/>
      <c r="O35" s="1245"/>
      <c r="S35" s="16116" t="s">
        <v>561</v>
      </c>
      <c r="T35" s="16116"/>
      <c r="U35" s="1249"/>
      <c r="V35" s="16117" t="str">
        <f>IF(TITLE_NUMBER_PR_CHANGE="",IF(TITLE_NUMBER_PR="","",TITLE_NUMBER_PR),TITLE_NUMBER_PR_CHANGE)</f>
        <v>8/6</v>
      </c>
      <c r="W35" s="16117"/>
      <c r="X35" s="16117"/>
      <c r="Y35" s="16117"/>
      <c r="Z35" s="16117"/>
      <c r="AA35" s="16117"/>
      <c r="AB35" s="16117"/>
      <c r="AC35" s="243"/>
      <c r="AD35" s="16117" t="str">
        <f>IF(TITLE_NUMBER_PR_CHANGE="",IF(TITLE_NUMBER_PR="","",TITLE_NUMBER_PR),TITLE_NUMBER_PR_CHANGE)</f>
        <v>8/6</v>
      </c>
      <c r="AE35" s="16117"/>
      <c r="AF35" s="16117"/>
      <c r="AG35" s="16117"/>
      <c r="AH35" s="16117"/>
      <c r="AI35" s="16117"/>
      <c r="AJ35" s="16117"/>
      <c r="AK35" s="243"/>
      <c r="AL35" s="243"/>
      <c r="AM35" s="198"/>
      <c r="AN35" s="283"/>
      <c r="AO35" s="283"/>
      <c r="AP35" s="283"/>
      <c r="AQ35" s="283"/>
      <c r="AR35" s="283"/>
    </row>
    <row r="36" spans="1:44" s="14420"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562</v>
      </c>
      <c r="AD36" s="243"/>
      <c r="AE36" s="243"/>
      <c r="AF36" s="243"/>
      <c r="AG36" s="243"/>
      <c r="AH36" s="243"/>
      <c r="AI36" s="243"/>
      <c r="AJ36" s="243"/>
      <c r="AK36" s="196" t="s">
        <v>562</v>
      </c>
      <c r="AN36" s="283"/>
      <c r="AO36" s="283"/>
      <c r="AP36" s="283"/>
      <c r="AQ36" s="283"/>
      <c r="AR36" s="283"/>
    </row>
    <row r="37" spans="1:44" ht="14.25" customHeight="1">
      <c r="Q37" s="291"/>
      <c r="R37" s="291"/>
      <c r="S37" s="1157"/>
      <c r="T37" s="279"/>
      <c r="U37" s="1126"/>
      <c r="V37" s="16118"/>
      <c r="W37" s="16118"/>
      <c r="X37" s="16118"/>
      <c r="Y37" s="16118"/>
      <c r="Z37" s="16118"/>
      <c r="AA37" s="16118"/>
      <c r="AB37" s="16118"/>
      <c r="AC37" s="16118"/>
      <c r="AD37" s="16118"/>
      <c r="AE37" s="16118"/>
      <c r="AF37" s="16118"/>
      <c r="AG37" s="16118"/>
      <c r="AH37" s="16118"/>
      <c r="AI37" s="16118"/>
      <c r="AJ37" s="16118"/>
      <c r="AK37" s="16118"/>
    </row>
    <row r="38" spans="1:44" ht="14.25" customHeight="1">
      <c r="Q38" s="291"/>
      <c r="R38" s="291"/>
      <c r="S38" s="15992" t="s">
        <v>437</v>
      </c>
      <c r="T38" s="15992"/>
      <c r="U38" s="15992"/>
      <c r="V38" s="15992"/>
      <c r="W38" s="15992"/>
      <c r="X38" s="15992"/>
      <c r="Y38" s="15992"/>
      <c r="Z38" s="15992"/>
      <c r="AA38" s="15992"/>
      <c r="AB38" s="15992"/>
      <c r="AC38" s="15992"/>
      <c r="AD38" s="15992"/>
      <c r="AE38" s="15992"/>
      <c r="AF38" s="15992"/>
      <c r="AG38" s="15992"/>
      <c r="AH38" s="15992"/>
      <c r="AI38" s="15992"/>
      <c r="AJ38" s="15992"/>
      <c r="AK38" s="15992"/>
      <c r="AL38" s="15992"/>
      <c r="AM38" s="15992" t="s">
        <v>438</v>
      </c>
    </row>
    <row r="39" spans="1:44" ht="14.25" customHeight="1">
      <c r="Q39" s="291"/>
      <c r="R39" s="291"/>
      <c r="S39" s="16132" t="s">
        <v>87</v>
      </c>
      <c r="T39" s="16084" t="s">
        <v>563</v>
      </c>
      <c r="U39" s="218"/>
      <c r="V39" s="16133" t="s">
        <v>564</v>
      </c>
      <c r="W39" s="16134"/>
      <c r="X39" s="16150"/>
      <c r="Y39" s="16150"/>
      <c r="Z39" s="16134"/>
      <c r="AA39" s="16134"/>
      <c r="AB39" s="16135"/>
      <c r="AC39" s="16136" t="s">
        <v>565</v>
      </c>
      <c r="AD39" s="16133" t="s">
        <v>564</v>
      </c>
      <c r="AE39" s="16134"/>
      <c r="AF39" s="16150"/>
      <c r="AG39" s="16150"/>
      <c r="AH39" s="16134"/>
      <c r="AI39" s="16134"/>
      <c r="AJ39" s="16135"/>
      <c r="AK39" s="16136" t="s">
        <v>566</v>
      </c>
      <c r="AL39" s="16139" t="s">
        <v>567</v>
      </c>
      <c r="AM39" s="15992"/>
    </row>
    <row r="40" spans="1:44" ht="23.25" customHeight="1">
      <c r="Q40" s="291"/>
      <c r="R40" s="291"/>
      <c r="S40" s="16132"/>
      <c r="T40" s="16084"/>
      <c r="U40" s="919"/>
      <c r="V40" s="16151" t="s">
        <v>568</v>
      </c>
      <c r="W40" s="16070" t="s">
        <v>569</v>
      </c>
      <c r="X40" s="1253" t="s">
        <v>570</v>
      </c>
      <c r="Y40" s="1253"/>
      <c r="Z40" s="15968" t="s">
        <v>571</v>
      </c>
      <c r="AA40" s="15968"/>
      <c r="AB40" s="15962"/>
      <c r="AC40" s="16137"/>
      <c r="AD40" s="16151" t="s">
        <v>568</v>
      </c>
      <c r="AE40" s="16070" t="s">
        <v>569</v>
      </c>
      <c r="AF40" s="1253" t="s">
        <v>570</v>
      </c>
      <c r="AG40" s="1253"/>
      <c r="AH40" s="15968" t="s">
        <v>571</v>
      </c>
      <c r="AI40" s="15968"/>
      <c r="AJ40" s="15962"/>
      <c r="AK40" s="16137"/>
      <c r="AL40" s="16140"/>
      <c r="AM40" s="15992"/>
    </row>
    <row r="41" spans="1:44" s="14436" customFormat="1" ht="23.25" customHeight="1">
      <c r="A41" s="1247"/>
      <c r="B41" s="1247" t="s">
        <v>170</v>
      </c>
      <c r="C41" s="1247" t="s">
        <v>171</v>
      </c>
      <c r="D41" s="1247" t="s">
        <v>172</v>
      </c>
      <c r="E41" s="1241" t="s">
        <v>572</v>
      </c>
      <c r="F41" s="1241" t="s">
        <v>573</v>
      </c>
      <c r="G41" s="1241" t="s">
        <v>574</v>
      </c>
      <c r="H41" s="1241" t="s">
        <v>575</v>
      </c>
      <c r="I41" s="1241" t="s">
        <v>576</v>
      </c>
      <c r="J41" s="1241" t="s">
        <v>577</v>
      </c>
      <c r="K41" s="1241" t="s">
        <v>578</v>
      </c>
      <c r="L41" s="1241" t="s">
        <v>553</v>
      </c>
      <c r="M41" s="1239"/>
      <c r="N41" s="1239"/>
      <c r="O41" s="1239"/>
      <c r="P41" s="1206"/>
      <c r="Q41" s="291"/>
      <c r="R41" s="291"/>
      <c r="S41" s="16132"/>
      <c r="T41" s="16084"/>
      <c r="U41" s="219"/>
      <c r="V41" s="16152"/>
      <c r="W41" s="16075"/>
      <c r="X41" s="1250" t="s">
        <v>579</v>
      </c>
      <c r="Y41" s="1250" t="s">
        <v>580</v>
      </c>
      <c r="Z41" s="1212" t="s">
        <v>581</v>
      </c>
      <c r="AA41" s="16092" t="s">
        <v>582</v>
      </c>
      <c r="AB41" s="16094"/>
      <c r="AC41" s="16138"/>
      <c r="AD41" s="16152"/>
      <c r="AE41" s="16075"/>
      <c r="AF41" s="1250" t="s">
        <v>579</v>
      </c>
      <c r="AG41" s="1250" t="s">
        <v>580</v>
      </c>
      <c r="AH41" s="1212" t="s">
        <v>581</v>
      </c>
      <c r="AI41" s="16092" t="s">
        <v>582</v>
      </c>
      <c r="AJ41" s="16094"/>
      <c r="AK41" s="16138"/>
      <c r="AL41" s="16141"/>
      <c r="AM41" s="15992"/>
      <c r="AN41" s="418"/>
      <c r="AO41" s="407"/>
      <c r="AP41" s="407"/>
      <c r="AQ41" s="407"/>
      <c r="AR41" s="407"/>
    </row>
    <row r="42" spans="1:44" s="14405"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147</v>
      </c>
      <c r="T42" s="1137" t="s">
        <v>102</v>
      </c>
      <c r="U42" s="1127" t="str">
        <f ca="1">OFFSET(U42,0,-1)</f>
        <v>2</v>
      </c>
      <c r="V42" s="1213">
        <f ca="1">OFFSET(V42,0,-1)+1</f>
        <v>3</v>
      </c>
      <c r="W42" s="1213"/>
      <c r="X42" s="1219">
        <f ca="1">OFFSET(X42,0,-1)+1</f>
        <v>1</v>
      </c>
      <c r="Y42" s="1219">
        <f ca="1">OFFSET(Y42,0,-1)+1</f>
        <v>2</v>
      </c>
      <c r="Z42" s="1213">
        <f ca="1">OFFSET(Z42,0,-1)+1</f>
        <v>3</v>
      </c>
      <c r="AA42" s="16131">
        <f ca="1">OFFSET(AA42,0,-1)+1</f>
        <v>4</v>
      </c>
      <c r="AB42" s="16131"/>
      <c r="AC42" s="1213">
        <f ca="1">OFFSET(AC42,0,-2)+1</f>
        <v>5</v>
      </c>
      <c r="AD42" s="1213">
        <f ca="1">OFFSET(AD42,0,-1)+1</f>
        <v>6</v>
      </c>
      <c r="AE42" s="1213"/>
      <c r="AF42" s="1219">
        <f ca="1">OFFSET(AF42,0,-1)+1</f>
        <v>1</v>
      </c>
      <c r="AG42" s="1219">
        <f ca="1">OFFSET(AG42,0,-1)+1</f>
        <v>2</v>
      </c>
      <c r="AH42" s="1213">
        <f ca="1">OFFSET(AH42,0,-1)+1</f>
        <v>3</v>
      </c>
      <c r="AI42" s="16131">
        <f ca="1">OFFSET(AI42,0,-1)+1</f>
        <v>4</v>
      </c>
      <c r="AJ42" s="16131"/>
      <c r="AK42" s="1213">
        <f ca="1">OFFSET(AK42,0,-2)+1</f>
        <v>5</v>
      </c>
      <c r="AL42" s="1127">
        <f ca="1">OFFSET(AL42,0,-1)</f>
        <v>5</v>
      </c>
      <c r="AM42" s="1213">
        <f ca="1">OFFSET(AM42,0,-1)+1</f>
        <v>6</v>
      </c>
      <c r="AN42" s="418"/>
      <c r="AO42" s="418"/>
      <c r="AP42" s="418"/>
      <c r="AQ42" s="418"/>
      <c r="AR42" s="418"/>
    </row>
    <row r="43" spans="1:44" ht="21" customHeight="1">
      <c r="A43" s="1240" t="s">
        <v>223</v>
      </c>
      <c r="B43" s="1240"/>
      <c r="C43" s="1240"/>
      <c r="D43" s="1240"/>
      <c r="E43" s="16124">
        <v>1</v>
      </c>
      <c r="F43" s="1240"/>
      <c r="G43" s="1240"/>
      <c r="H43" s="1240"/>
      <c r="I43" s="1240"/>
      <c r="J43" s="1240"/>
      <c r="K43" s="1240"/>
      <c r="L43" s="1241"/>
      <c r="M43" s="1242"/>
      <c r="N43" s="1242"/>
      <c r="O43" s="1242"/>
      <c r="P43" s="277"/>
      <c r="Q43" s="276"/>
      <c r="R43" s="271"/>
      <c r="S43" s="1214">
        <f>INDEX(PT_DIFFERENTIATION_NUM_NTAR,MATCH(A43,PT_DIFFERENTIATION_NTAR_ID,0))</f>
        <v>0</v>
      </c>
      <c r="T43" s="215" t="s">
        <v>158</v>
      </c>
      <c r="U43" s="217"/>
      <c r="V43" s="16110"/>
      <c r="W43" s="16111"/>
      <c r="X43" s="16111"/>
      <c r="Y43" s="16111"/>
      <c r="Z43" s="16111"/>
      <c r="AA43" s="16111"/>
      <c r="AB43" s="16111"/>
      <c r="AC43" s="16112"/>
      <c r="AD43" s="16110" t="str">
        <f>INDEX(PT_DIFFERENTIATION_NTAR,MATCH(A43,PT_DIFFERENTIATION_NTAR_ID,0))</f>
        <v/>
      </c>
      <c r="AE43" s="16111"/>
      <c r="AF43" s="16111"/>
      <c r="AG43" s="16111"/>
      <c r="AH43" s="16111"/>
      <c r="AI43" s="16111"/>
      <c r="AJ43" s="16111"/>
      <c r="AK43" s="16111"/>
      <c r="AL43" s="16112"/>
      <c r="AM43" s="114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223</v>
      </c>
      <c r="B44" s="1240" t="s">
        <v>224</v>
      </c>
      <c r="C44" s="1240"/>
      <c r="D44" s="1240"/>
      <c r="E44" s="16125"/>
      <c r="F44" s="16124">
        <v>1</v>
      </c>
      <c r="G44" s="1240"/>
      <c r="H44" s="1240"/>
      <c r="I44" s="1240"/>
      <c r="J44" s="1240"/>
      <c r="K44" s="1240"/>
      <c r="L44" s="1241"/>
      <c r="M44" s="1242"/>
      <c r="N44" s="1242"/>
      <c r="O44" s="1242"/>
      <c r="P44" s="1210"/>
      <c r="Q44" s="268"/>
      <c r="R44" s="269"/>
      <c r="S44" s="1214" t="str">
        <f>INDEX(PT_DIFFERENTIATION_NUM_TER,MATCH(B44,PT_DIFFERENTIATION_TER_ID,0))</f>
        <v>.</v>
      </c>
      <c r="T44" s="225" t="s">
        <v>534</v>
      </c>
      <c r="U44" s="217"/>
      <c r="V44" s="16110"/>
      <c r="W44" s="16111"/>
      <c r="X44" s="16111"/>
      <c r="Y44" s="16111"/>
      <c r="Z44" s="16111"/>
      <c r="AA44" s="16111"/>
      <c r="AB44" s="16111"/>
      <c r="AC44" s="16112"/>
      <c r="AD44" s="16110" t="str">
        <f>INDEX(PT_DIFFERENTIATION_TER,MATCH(B44,PT_DIFFERENTIATION_TER_ID,0))</f>
        <v/>
      </c>
      <c r="AE44" s="16111"/>
      <c r="AF44" s="16111"/>
      <c r="AG44" s="16111"/>
      <c r="AH44" s="16111"/>
      <c r="AI44" s="16111"/>
      <c r="AJ44" s="16111"/>
      <c r="AK44" s="16111"/>
      <c r="AL44" s="16112"/>
      <c r="AM44" s="1140" t="s">
        <v>535</v>
      </c>
      <c r="AO44" s="407"/>
      <c r="AP44" s="407" t="str">
        <f t="shared" si="1"/>
        <v>Территория действия тарифа</v>
      </c>
      <c r="AQ44" s="407"/>
      <c r="AR44" s="407"/>
    </row>
    <row r="45" spans="1:44" ht="23.25" customHeight="1">
      <c r="A45" s="1240" t="s">
        <v>223</v>
      </c>
      <c r="B45" s="1240" t="s">
        <v>224</v>
      </c>
      <c r="C45" s="1240" t="s">
        <v>225</v>
      </c>
      <c r="D45" s="1240"/>
      <c r="E45" s="16125"/>
      <c r="F45" s="16125"/>
      <c r="G45" s="16124">
        <v>1</v>
      </c>
      <c r="H45" s="1240"/>
      <c r="I45" s="1240"/>
      <c r="J45" s="1240"/>
      <c r="K45" s="1240"/>
      <c r="L45" s="1241"/>
      <c r="M45" s="1242"/>
      <c r="N45" s="1242"/>
      <c r="O45" s="1242"/>
      <c r="P45" s="270"/>
      <c r="Q45" s="268"/>
      <c r="R45" s="269"/>
      <c r="S45" s="1214" t="str">
        <f>INDEX(PT_DIFFERENTIATION_NUM_CS,MATCH(C45,PT_DIFFERENTIATION_CS_ID,0))</f>
        <v>..</v>
      </c>
      <c r="T45" s="226" t="s">
        <v>536</v>
      </c>
      <c r="U45" s="217"/>
      <c r="V45" s="16110"/>
      <c r="W45" s="16111"/>
      <c r="X45" s="16111"/>
      <c r="Y45" s="16111"/>
      <c r="Z45" s="16111"/>
      <c r="AA45" s="16111"/>
      <c r="AB45" s="16111"/>
      <c r="AC45" s="16112"/>
      <c r="AD45" s="16110" t="str">
        <f>INDEX(PT_DIFFERENTIATION_CS,MATCH(C45,PT_DIFFERENTIATION_CS_ID,0))</f>
        <v/>
      </c>
      <c r="AE45" s="16111"/>
      <c r="AF45" s="16111"/>
      <c r="AG45" s="16111"/>
      <c r="AH45" s="16111"/>
      <c r="AI45" s="16111"/>
      <c r="AJ45" s="16111"/>
      <c r="AK45" s="16111"/>
      <c r="AL45" s="16112"/>
      <c r="AM45" s="1140" t="s">
        <v>537</v>
      </c>
      <c r="AO45" s="407"/>
      <c r="AP45" s="407" t="str">
        <f t="shared" si="1"/>
        <v xml:space="preserve">Наименование системы теплоснабжения </v>
      </c>
      <c r="AQ45" s="407"/>
      <c r="AR45" s="407"/>
    </row>
    <row r="46" spans="1:44" ht="21" customHeight="1">
      <c r="A46" s="1240" t="s">
        <v>223</v>
      </c>
      <c r="B46" s="1240" t="s">
        <v>224</v>
      </c>
      <c r="C46" s="1240" t="s">
        <v>225</v>
      </c>
      <c r="D46" s="1240" t="s">
        <v>226</v>
      </c>
      <c r="E46" s="16125"/>
      <c r="F46" s="16125"/>
      <c r="G46" s="16125"/>
      <c r="H46" s="16124">
        <v>1</v>
      </c>
      <c r="I46" s="1240"/>
      <c r="J46" s="1240"/>
      <c r="K46" s="1240"/>
      <c r="L46" s="1241"/>
      <c r="M46" s="1242"/>
      <c r="N46" s="1242"/>
      <c r="O46" s="1242"/>
      <c r="P46" s="270"/>
      <c r="Q46" s="268"/>
      <c r="R46" s="269"/>
      <c r="S46" s="1214" t="str">
        <f>INDEX(PT_DIFFERENTIATION_NUM_IST_TE,MATCH(D46,PT_DIFFERENTIATION_IST_TE_ID,0))</f>
        <v>...</v>
      </c>
      <c r="T46" s="227" t="s">
        <v>538</v>
      </c>
      <c r="U46" s="217"/>
      <c r="V46" s="16110"/>
      <c r="W46" s="16111"/>
      <c r="X46" s="16111"/>
      <c r="Y46" s="16111"/>
      <c r="Z46" s="16111"/>
      <c r="AA46" s="16111"/>
      <c r="AB46" s="16111"/>
      <c r="AC46" s="16112"/>
      <c r="AD46" s="16110" t="str">
        <f>INDEX(PT_DIFFERENTIATION_IST_TE,MATCH(D46,PT_DIFFERENTIATION_IST_TE_ID,0))</f>
        <v/>
      </c>
      <c r="AE46" s="16111"/>
      <c r="AF46" s="16111"/>
      <c r="AG46" s="16111"/>
      <c r="AH46" s="16111"/>
      <c r="AI46" s="16111"/>
      <c r="AJ46" s="16111"/>
      <c r="AK46" s="16111"/>
      <c r="AL46" s="16112"/>
      <c r="AM46" s="1140" t="s">
        <v>539</v>
      </c>
      <c r="AO46" s="407"/>
      <c r="AP46" s="407" t="str">
        <f t="shared" si="1"/>
        <v xml:space="preserve">Источник тепловой энергии  </v>
      </c>
      <c r="AQ46" s="407"/>
      <c r="AR46" s="407"/>
    </row>
    <row r="47" spans="1:44" ht="47.25" customHeight="1">
      <c r="A47" s="1240" t="s">
        <v>223</v>
      </c>
      <c r="B47" s="1240" t="s">
        <v>224</v>
      </c>
      <c r="C47" s="1240" t="s">
        <v>225</v>
      </c>
      <c r="D47" s="1240" t="s">
        <v>226</v>
      </c>
      <c r="E47" s="16125"/>
      <c r="F47" s="16125"/>
      <c r="G47" s="16125"/>
      <c r="H47" s="16125"/>
      <c r="I47" s="16122" t="str">
        <f>S46&amp;".1"</f>
        <v>....1</v>
      </c>
      <c r="J47" s="1240"/>
      <c r="K47" s="1240"/>
      <c r="L47" s="1241" t="s">
        <v>540</v>
      </c>
      <c r="P47" s="16123">
        <v>1</v>
      </c>
      <c r="Q47" s="1209"/>
      <c r="R47" s="272"/>
      <c r="S47" s="1214" t="str">
        <f>$I47</f>
        <v>....1</v>
      </c>
      <c r="T47" s="202" t="s">
        <v>541</v>
      </c>
      <c r="U47" s="217"/>
      <c r="V47" s="16113"/>
      <c r="W47" s="16114"/>
      <c r="X47" s="16114"/>
      <c r="Y47" s="16114"/>
      <c r="Z47" s="16114"/>
      <c r="AA47" s="16114"/>
      <c r="AB47" s="16114"/>
      <c r="AC47" s="16115"/>
      <c r="AD47" s="16113"/>
      <c r="AE47" s="16114"/>
      <c r="AF47" s="16114"/>
      <c r="AG47" s="16114"/>
      <c r="AH47" s="16114"/>
      <c r="AI47" s="16114"/>
      <c r="AJ47" s="16114"/>
      <c r="AK47" s="16114"/>
      <c r="AL47" s="16115"/>
      <c r="AM47" s="1140" t="s">
        <v>542</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0" t="s">
        <v>223</v>
      </c>
      <c r="B48" s="1240" t="s">
        <v>224</v>
      </c>
      <c r="C48" s="1240" t="s">
        <v>225</v>
      </c>
      <c r="D48" s="1240" t="s">
        <v>226</v>
      </c>
      <c r="E48" s="16125"/>
      <c r="F48" s="16125"/>
      <c r="G48" s="16125"/>
      <c r="H48" s="16125"/>
      <c r="I48" s="16145"/>
      <c r="J48" s="16122" t="str">
        <f>I47&amp;".1"</f>
        <v>....1.1</v>
      </c>
      <c r="K48" s="1240"/>
      <c r="L48" s="1241" t="s">
        <v>543</v>
      </c>
      <c r="P48" s="16123"/>
      <c r="Q48" s="16123">
        <v>1</v>
      </c>
      <c r="R48" s="273"/>
      <c r="S48" s="1214" t="str">
        <f>$J48</f>
        <v>....1.1</v>
      </c>
      <c r="T48" s="203" t="s">
        <v>544</v>
      </c>
      <c r="U48" s="217"/>
      <c r="V48" s="16113"/>
      <c r="W48" s="16114"/>
      <c r="X48" s="16114"/>
      <c r="Y48" s="16114"/>
      <c r="Z48" s="16114"/>
      <c r="AA48" s="16114"/>
      <c r="AB48" s="16114"/>
      <c r="AC48" s="16115"/>
      <c r="AD48" s="16113"/>
      <c r="AE48" s="16114"/>
      <c r="AF48" s="16114"/>
      <c r="AG48" s="16114"/>
      <c r="AH48" s="16114"/>
      <c r="AI48" s="16114"/>
      <c r="AJ48" s="16114"/>
      <c r="AK48" s="16114"/>
      <c r="AL48" s="16115"/>
      <c r="AM48" s="1140" t="s">
        <v>545</v>
      </c>
      <c r="AO48" s="407"/>
      <c r="AP48" s="407" t="str">
        <f t="shared" si="1"/>
        <v>Группа потребителей</v>
      </c>
      <c r="AQ48" s="407"/>
      <c r="AR48" s="407"/>
    </row>
    <row r="49" spans="1:44" ht="21" customHeight="1">
      <c r="A49" s="1240" t="s">
        <v>223</v>
      </c>
      <c r="B49" s="1240" t="s">
        <v>224</v>
      </c>
      <c r="C49" s="1240" t="s">
        <v>225</v>
      </c>
      <c r="D49" s="1240" t="s">
        <v>226</v>
      </c>
      <c r="E49" s="16125"/>
      <c r="F49" s="16125"/>
      <c r="G49" s="16125"/>
      <c r="H49" s="16125"/>
      <c r="I49" s="16145"/>
      <c r="J49" s="16145"/>
      <c r="K49" s="16122" t="str">
        <f>J48&amp;".1"</f>
        <v>....1.1.1</v>
      </c>
      <c r="L49" s="1241" t="s">
        <v>546</v>
      </c>
      <c r="P49" s="16123"/>
      <c r="Q49" s="16123"/>
      <c r="R49" s="273">
        <v>1</v>
      </c>
      <c r="S49" s="1214" t="str">
        <f>$K49</f>
        <v>....1.1.1</v>
      </c>
      <c r="T49" s="1225"/>
      <c r="U49" s="217"/>
      <c r="V49" s="242"/>
      <c r="W49" s="649"/>
      <c r="X49" s="242"/>
      <c r="Y49" s="299"/>
      <c r="Z49" s="16127"/>
      <c r="AA49" s="15973" t="s">
        <v>66</v>
      </c>
      <c r="AB49" s="16127"/>
      <c r="AC49" s="15973" t="s">
        <v>66</v>
      </c>
      <c r="AD49" s="242"/>
      <c r="AE49" s="649"/>
      <c r="AF49" s="242"/>
      <c r="AG49" s="299"/>
      <c r="AH49" s="16127"/>
      <c r="AI49" s="15973" t="s">
        <v>66</v>
      </c>
      <c r="AJ49" s="16146"/>
      <c r="AK49" s="15973" t="s">
        <v>66</v>
      </c>
      <c r="AL49" s="1226"/>
      <c r="AM49" s="16119" t="s">
        <v>547</v>
      </c>
      <c r="AN49" s="418" t="e">
        <f ca="1">STRCHECKDATE(V50:AL50)</f>
        <v>#NAME?</v>
      </c>
      <c r="AO49" s="407"/>
      <c r="AP49" s="407" t="str">
        <f t="shared" si="1"/>
        <v/>
      </c>
      <c r="AQ49" s="407"/>
      <c r="AR49" s="407"/>
    </row>
    <row r="50" spans="1:44" ht="0.75" customHeight="1">
      <c r="A50" s="1240" t="s">
        <v>223</v>
      </c>
      <c r="B50" s="1240" t="s">
        <v>224</v>
      </c>
      <c r="C50" s="1240" t="s">
        <v>225</v>
      </c>
      <c r="D50" s="1240" t="s">
        <v>226</v>
      </c>
      <c r="E50" s="16125"/>
      <c r="F50" s="16125"/>
      <c r="G50" s="16125"/>
      <c r="H50" s="16125"/>
      <c r="I50" s="16145"/>
      <c r="J50" s="16145"/>
      <c r="K50" s="16122"/>
      <c r="L50" s="1241"/>
      <c r="P50" s="16123"/>
      <c r="Q50" s="16123"/>
      <c r="R50" s="273"/>
      <c r="S50" s="1220"/>
      <c r="T50" s="217"/>
      <c r="U50" s="217"/>
      <c r="V50" s="242"/>
      <c r="W50" s="242"/>
      <c r="X50" s="242"/>
      <c r="Y50" s="245" t="str">
        <f>Z49&amp;"-"&amp;AB49</f>
        <v>-</v>
      </c>
      <c r="Z50" s="16128"/>
      <c r="AA50" s="15973"/>
      <c r="AB50" s="16128"/>
      <c r="AC50" s="15973"/>
      <c r="AD50" s="242"/>
      <c r="AE50" s="242"/>
      <c r="AF50" s="242"/>
      <c r="AG50" s="245" t="str">
        <f>AH49&amp;"-"&amp;AJ49</f>
        <v>-</v>
      </c>
      <c r="AH50" s="16128"/>
      <c r="AI50" s="15973"/>
      <c r="AJ50" s="16147"/>
      <c r="AK50" s="15973"/>
      <c r="AL50" s="1227"/>
      <c r="AM50" s="16120"/>
      <c r="AO50" s="407"/>
      <c r="AP50" s="407" t="str">
        <f t="shared" si="1"/>
        <v/>
      </c>
      <c r="AQ50" s="407"/>
      <c r="AR50" s="407"/>
    </row>
    <row r="51" spans="1:44" ht="11.25" customHeight="1">
      <c r="A51" s="1240" t="s">
        <v>223</v>
      </c>
      <c r="B51" s="1240" t="s">
        <v>224</v>
      </c>
      <c r="C51" s="1240" t="s">
        <v>225</v>
      </c>
      <c r="D51" s="1240" t="s">
        <v>226</v>
      </c>
      <c r="E51" s="16125"/>
      <c r="F51" s="16125"/>
      <c r="G51" s="16125"/>
      <c r="H51" s="16125"/>
      <c r="I51" s="16145"/>
      <c r="J51" s="16122"/>
      <c r="K51" s="1240"/>
      <c r="L51" s="1241"/>
      <c r="P51" s="16123"/>
      <c r="Q51" s="16123"/>
      <c r="R51" s="272"/>
      <c r="S51" s="1160"/>
      <c r="T51" s="205" t="s">
        <v>548</v>
      </c>
      <c r="U51" s="282"/>
      <c r="V51" s="282"/>
      <c r="W51" s="282"/>
      <c r="X51" s="282"/>
      <c r="Y51" s="282"/>
      <c r="Z51" s="282"/>
      <c r="AA51" s="282"/>
      <c r="AB51" s="282"/>
      <c r="AC51" s="282"/>
      <c r="AD51" s="282"/>
      <c r="AE51" s="282"/>
      <c r="AF51" s="282"/>
      <c r="AG51" s="282"/>
      <c r="AH51" s="282"/>
      <c r="AI51" s="282"/>
      <c r="AJ51" s="282"/>
      <c r="AK51" s="282"/>
      <c r="AL51" s="241"/>
      <c r="AM51" s="16121"/>
      <c r="AO51" s="407"/>
      <c r="AP51" s="407" t="str">
        <f t="shared" si="1"/>
        <v>Добавить вид теплоносителя (параметры теплоносителя)</v>
      </c>
      <c r="AQ51" s="407"/>
      <c r="AR51" s="407"/>
    </row>
    <row r="52" spans="1:44" ht="11.25" customHeight="1">
      <c r="A52" s="1240" t="s">
        <v>223</v>
      </c>
      <c r="B52" s="1240" t="s">
        <v>224</v>
      </c>
      <c r="C52" s="1240" t="s">
        <v>225</v>
      </c>
      <c r="D52" s="1240" t="s">
        <v>226</v>
      </c>
      <c r="E52" s="16125"/>
      <c r="F52" s="16125"/>
      <c r="G52" s="16125"/>
      <c r="H52" s="16125"/>
      <c r="I52" s="16122"/>
      <c r="J52" s="1240"/>
      <c r="K52" s="1240"/>
      <c r="L52" s="1241"/>
      <c r="P52" s="16123"/>
      <c r="Q52" s="1209"/>
      <c r="R52" s="272"/>
      <c r="S52" s="1160"/>
      <c r="T52" s="204" t="s">
        <v>549</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0" t="s">
        <v>223</v>
      </c>
      <c r="B53" s="1240" t="s">
        <v>224</v>
      </c>
      <c r="C53" s="1240" t="s">
        <v>225</v>
      </c>
      <c r="D53" s="1240" t="s">
        <v>226</v>
      </c>
      <c r="E53" s="16125"/>
      <c r="F53" s="16125"/>
      <c r="G53" s="16125"/>
      <c r="H53" s="16124"/>
      <c r="I53" s="1240"/>
      <c r="J53" s="1240"/>
      <c r="K53" s="1240"/>
      <c r="L53" s="1241"/>
      <c r="M53" s="1242"/>
      <c r="N53" s="1242"/>
      <c r="O53" s="443"/>
      <c r="P53" s="276"/>
      <c r="Q53" s="290"/>
      <c r="R53" s="271"/>
      <c r="S53" s="1160"/>
      <c r="T53" s="280" t="s">
        <v>550</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4418" customFormat="1" ht="0.75" customHeight="1">
      <c r="A54" s="1221" t="s">
        <v>223</v>
      </c>
      <c r="B54" s="1221" t="s">
        <v>224</v>
      </c>
      <c r="C54" s="1221" t="s">
        <v>225</v>
      </c>
      <c r="D54" s="1193"/>
      <c r="E54" s="16125"/>
      <c r="F54" s="16125"/>
      <c r="G54" s="16124"/>
      <c r="H54" s="1193"/>
      <c r="I54" s="1193"/>
      <c r="J54" s="1193"/>
      <c r="K54" s="1193"/>
      <c r="L54" s="1217"/>
      <c r="M54" s="1194"/>
      <c r="N54" s="1194"/>
      <c r="P54" s="1195"/>
      <c r="Q54" s="1196"/>
      <c r="R54" s="1195"/>
      <c r="S54" s="1201"/>
      <c r="T54" s="1204" t="s">
        <v>551</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4418" customFormat="1" ht="0.75" customHeight="1">
      <c r="A55" s="1221" t="s">
        <v>223</v>
      </c>
      <c r="B55" s="1221" t="s">
        <v>224</v>
      </c>
      <c r="C55" s="1193"/>
      <c r="D55" s="1193"/>
      <c r="E55" s="16125"/>
      <c r="F55" s="16124"/>
      <c r="G55" s="1193"/>
      <c r="H55" s="1193"/>
      <c r="I55" s="1193"/>
      <c r="J55" s="1193"/>
      <c r="K55" s="1193"/>
      <c r="L55" s="1217"/>
      <c r="M55" s="1200"/>
      <c r="N55" s="1200"/>
      <c r="P55" s="1195"/>
      <c r="Q55" s="1196"/>
      <c r="R55" s="1195"/>
      <c r="S55" s="1201"/>
      <c r="T55" s="1204" t="s">
        <v>290</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4421" customFormat="1" ht="0.75" customHeight="1">
      <c r="A56" s="1221" t="s">
        <v>223</v>
      </c>
      <c r="B56" s="1221"/>
      <c r="C56" s="1221"/>
      <c r="D56" s="1221"/>
      <c r="E56" s="16124"/>
      <c r="F56" s="1221"/>
      <c r="G56" s="1221"/>
      <c r="H56" s="1221"/>
      <c r="I56" s="1221"/>
      <c r="J56" s="1221"/>
      <c r="K56" s="1221"/>
      <c r="L56" s="1224"/>
      <c r="M56" s="1200"/>
      <c r="N56" s="1200"/>
      <c r="O56" s="425"/>
      <c r="P56" s="295"/>
      <c r="Q56" s="1222"/>
      <c r="R56" s="295"/>
      <c r="S56" s="1201"/>
      <c r="T56" s="1204" t="s">
        <v>326</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4418"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390</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5"/>
      <c r="T59" s="16144"/>
      <c r="U59" s="16144"/>
      <c r="V59" s="16144"/>
      <c r="W59" s="16144"/>
      <c r="X59" s="16144"/>
      <c r="Y59" s="16144"/>
      <c r="Z59" s="16144"/>
      <c r="AA59" s="16144"/>
      <c r="AB59" s="16144"/>
      <c r="AC59" s="16144"/>
      <c r="AD59" s="16144"/>
      <c r="AE59" s="16144"/>
      <c r="AF59" s="16144"/>
      <c r="AG59" s="16144"/>
      <c r="AH59" s="16144"/>
      <c r="AI59" s="16144"/>
      <c r="AJ59" s="16144"/>
      <c r="AK59" s="16144"/>
      <c r="AL59" s="16144"/>
      <c r="AM59" s="16144"/>
    </row>
    <row r="60" spans="1:44" ht="75" customHeight="1">
      <c r="O60" s="443"/>
      <c r="T60" s="16144"/>
      <c r="U60" s="16144"/>
      <c r="V60" s="16144"/>
      <c r="W60" s="16144"/>
      <c r="X60" s="16144"/>
      <c r="Y60" s="16144"/>
      <c r="Z60" s="16144"/>
      <c r="AA60" s="16144"/>
      <c r="AB60" s="16144"/>
      <c r="AC60" s="16144"/>
      <c r="AD60" s="16144"/>
      <c r="AE60" s="16144"/>
      <c r="AF60" s="16144"/>
      <c r="AG60" s="16144"/>
      <c r="AH60" s="16144"/>
      <c r="AI60" s="16144"/>
      <c r="AJ60" s="16144"/>
      <c r="AK60" s="16144"/>
      <c r="AL60" s="16144"/>
      <c r="AM60" s="16144"/>
    </row>
    <row r="61" spans="1:44" ht="14.25" customHeight="1">
      <c r="O61" s="443"/>
    </row>
    <row r="62" spans="1:44" ht="18" customHeight="1">
      <c r="O62" s="443"/>
      <c r="S62" s="1135"/>
      <c r="T62" s="16144"/>
      <c r="U62" s="16144"/>
      <c r="V62" s="16144"/>
      <c r="W62" s="16144"/>
      <c r="X62" s="16144"/>
      <c r="Y62" s="16144"/>
      <c r="Z62" s="16144"/>
      <c r="AA62" s="16144"/>
      <c r="AB62" s="16144"/>
      <c r="AC62" s="16144"/>
      <c r="AD62" s="16144"/>
      <c r="AE62" s="16144"/>
      <c r="AF62" s="16144"/>
      <c r="AG62" s="16144"/>
      <c r="AH62" s="16144"/>
      <c r="AI62" s="16144"/>
      <c r="AJ62" s="16144"/>
      <c r="AK62" s="16144"/>
      <c r="AL62" s="16144"/>
      <c r="AM62" s="16144"/>
    </row>
    <row r="63" spans="1:44" ht="18" customHeight="1">
      <c r="O63" s="443"/>
      <c r="T63" s="16144"/>
      <c r="U63" s="16144"/>
      <c r="V63" s="16144"/>
      <c r="W63" s="16144"/>
      <c r="X63" s="16144"/>
      <c r="Y63" s="16144"/>
      <c r="Z63" s="16144"/>
      <c r="AA63" s="16144"/>
      <c r="AB63" s="16144"/>
      <c r="AC63" s="16144"/>
      <c r="AD63" s="16144"/>
      <c r="AE63" s="16144"/>
      <c r="AF63" s="16144"/>
      <c r="AG63" s="16144"/>
      <c r="AH63" s="16144"/>
      <c r="AI63" s="16144"/>
      <c r="AJ63" s="16144"/>
      <c r="AK63" s="16144"/>
      <c r="AL63" s="16144"/>
      <c r="AM63" s="16144"/>
    </row>
    <row r="64" spans="1:44" ht="38.25" customHeight="1">
      <c r="O64" s="443"/>
      <c r="S64" s="1135"/>
      <c r="T64" s="16144"/>
      <c r="U64" s="16144"/>
      <c r="V64" s="16144"/>
      <c r="W64" s="16144"/>
      <c r="X64" s="16144"/>
      <c r="Y64" s="16144"/>
      <c r="Z64" s="16144"/>
      <c r="AA64" s="16144"/>
      <c r="AB64" s="16144"/>
      <c r="AC64" s="16144"/>
      <c r="AD64" s="16144"/>
      <c r="AE64" s="16144"/>
      <c r="AF64" s="16144"/>
      <c r="AG64" s="16144"/>
      <c r="AH64" s="16144"/>
      <c r="AI64" s="16144"/>
      <c r="AJ64" s="16144"/>
      <c r="AK64" s="16144"/>
      <c r="AL64" s="16144"/>
      <c r="AM64" s="1614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2" style="14419" hidden="1" customWidth="1"/>
    <col min="10" max="10" width="9.85546875" style="14419" hidden="1" customWidth="1"/>
    <col min="11" max="11" width="11.42578125" style="14419" hidden="1" customWidth="1"/>
    <col min="12" max="12" width="19.140625" style="14422" hidden="1" customWidth="1"/>
    <col min="13" max="14" width="12.28515625" style="14423" hidden="1" customWidth="1"/>
    <col min="15" max="15" width="23.42578125" style="14423" hidden="1" customWidth="1"/>
    <col min="16" max="16" width="3.7109375" style="14428" hidden="1" customWidth="1"/>
    <col min="17" max="18" width="3.7109375" style="14425" customWidth="1"/>
    <col min="19" max="19" width="12.7109375" style="14426" customWidth="1"/>
    <col min="20" max="20" width="32" style="14427" customWidth="1"/>
    <col min="21" max="21" width="0.140625" style="14427" customWidth="1"/>
    <col min="22" max="22" width="24.7109375" style="14427" hidden="1" customWidth="1"/>
    <col min="23" max="23" width="0.140625" style="14427" hidden="1" customWidth="1"/>
    <col min="24" max="25" width="24.7109375" style="14427" hidden="1" customWidth="1"/>
    <col min="26" max="26" width="11.7109375" style="14427" hidden="1" customWidth="1"/>
    <col min="27" max="27" width="3.7109375" style="14427" hidden="1" customWidth="1"/>
    <col min="28" max="28" width="11.7109375" style="14427" hidden="1" customWidth="1"/>
    <col min="29" max="29" width="8.5703125" style="14427" hidden="1" customWidth="1"/>
    <col min="30" max="30" width="24.7109375" style="14427" customWidth="1"/>
    <col min="31" max="31" width="0.140625" style="14427" customWidth="1"/>
    <col min="32" max="33" width="24.7109375" style="14427" customWidth="1"/>
    <col min="34" max="34" width="11.7109375" style="14427" customWidth="1"/>
    <col min="35" max="35" width="3.7109375" style="14427" customWidth="1"/>
    <col min="36" max="36" width="11.7109375" style="14427" customWidth="1"/>
    <col min="37" max="37" width="8.5703125" style="14427" hidden="1" customWidth="1"/>
    <col min="38" max="38" width="4.7109375" style="14427" customWidth="1"/>
    <col min="39" max="39" width="115.7109375" style="14427" customWidth="1"/>
    <col min="40" max="41" width="10.5703125" style="14421"/>
    <col min="42" max="42" width="11.140625" style="14421" customWidth="1"/>
    <col min="43" max="44" width="10.5703125" style="14421"/>
  </cols>
  <sheetData>
    <row r="1" spans="1:44" ht="14.25" hidden="1" customHeight="1">
      <c r="Y1" s="244"/>
      <c r="Z1" s="244"/>
      <c r="AG1" s="244"/>
      <c r="AH1" s="244"/>
    </row>
    <row r="2" spans="1:44" ht="21" hidden="1" customHeight="1">
      <c r="A2" s="1240"/>
      <c r="B2" s="1240"/>
      <c r="C2" s="1240"/>
      <c r="D2" s="1240"/>
      <c r="E2" s="16124">
        <v>1</v>
      </c>
      <c r="F2" s="1240"/>
      <c r="G2" s="1240"/>
      <c r="H2" s="1240"/>
      <c r="I2" s="1240"/>
      <c r="J2" s="1240"/>
      <c r="K2" s="1240"/>
      <c r="L2" s="1241"/>
      <c r="M2" s="1242"/>
      <c r="N2" s="1242"/>
      <c r="O2" s="1242"/>
      <c r="P2" s="277"/>
      <c r="Q2" s="276"/>
      <c r="R2" s="271"/>
      <c r="S2" s="1214" t="e">
        <f>INDEX(PT_DIFFERENTIATION_NUM_NTAR,MATCH(A2,PT_DIFFERENTIATION_NTAR_ID,0))</f>
        <v>#N/A</v>
      </c>
      <c r="T2" s="215" t="s">
        <v>158</v>
      </c>
      <c r="U2" s="217"/>
      <c r="V2" s="16110"/>
      <c r="W2" s="16111"/>
      <c r="X2" s="16111"/>
      <c r="Y2" s="16111"/>
      <c r="Z2" s="16111"/>
      <c r="AA2" s="16111"/>
      <c r="AB2" s="16111"/>
      <c r="AC2" s="16112"/>
      <c r="AD2" s="16110" t="e">
        <f>INDEX(PT_DIFFERENTIATION_NTAR,MATCH(A2,PT_DIFFERENTIATION_NTAR_ID,0))</f>
        <v>#N/A</v>
      </c>
      <c r="AE2" s="16111"/>
      <c r="AF2" s="16111"/>
      <c r="AG2" s="16111"/>
      <c r="AH2" s="16111"/>
      <c r="AI2" s="16111"/>
      <c r="AJ2" s="16111"/>
      <c r="AK2" s="16111"/>
      <c r="AL2" s="16112"/>
      <c r="AM2" s="1140" t="s">
        <v>533</v>
      </c>
      <c r="AO2" s="407"/>
      <c r="AP2" s="407" t="str">
        <f t="shared" ref="AP2:AP15" si="0">IF(T2="","",T2)</f>
        <v>Наименование тарифа</v>
      </c>
      <c r="AQ2" s="407"/>
      <c r="AR2" s="407"/>
    </row>
    <row r="3" spans="1:44" ht="21" hidden="1" customHeight="1">
      <c r="A3" s="1240"/>
      <c r="B3" s="1240"/>
      <c r="C3" s="1240"/>
      <c r="D3" s="1240"/>
      <c r="E3" s="16125"/>
      <c r="F3" s="16124">
        <v>1</v>
      </c>
      <c r="G3" s="1240"/>
      <c r="H3" s="1240"/>
      <c r="I3" s="1240"/>
      <c r="J3" s="1240"/>
      <c r="K3" s="1240"/>
      <c r="L3" s="1241"/>
      <c r="M3" s="1242"/>
      <c r="N3" s="1242"/>
      <c r="O3" s="1242"/>
      <c r="P3" s="1210"/>
      <c r="Q3" s="268"/>
      <c r="R3" s="269"/>
      <c r="S3" s="1214" t="e">
        <f>INDEX(PT_DIFFERENTIATION_NUM_TER,MATCH(B3,PT_DIFFERENTIATION_TER_ID,0))</f>
        <v>#N/A</v>
      </c>
      <c r="T3" s="225" t="s">
        <v>534</v>
      </c>
      <c r="U3" s="217"/>
      <c r="V3" s="16110"/>
      <c r="W3" s="16111"/>
      <c r="X3" s="16111"/>
      <c r="Y3" s="16111"/>
      <c r="Z3" s="16111"/>
      <c r="AA3" s="16111"/>
      <c r="AB3" s="16111"/>
      <c r="AC3" s="16112"/>
      <c r="AD3" s="16110" t="e">
        <f>INDEX(PT_DIFFERENTIATION_TER,MATCH(B3,PT_DIFFERENTIATION_TER_ID,0))</f>
        <v>#N/A</v>
      </c>
      <c r="AE3" s="16111"/>
      <c r="AF3" s="16111"/>
      <c r="AG3" s="16111"/>
      <c r="AH3" s="16111"/>
      <c r="AI3" s="16111"/>
      <c r="AJ3" s="16111"/>
      <c r="AK3" s="16111"/>
      <c r="AL3" s="16112"/>
      <c r="AM3" s="1140" t="s">
        <v>535</v>
      </c>
      <c r="AO3" s="407"/>
      <c r="AP3" s="407" t="str">
        <f t="shared" si="0"/>
        <v>Территория действия тарифа</v>
      </c>
      <c r="AQ3" s="407"/>
      <c r="AR3" s="407"/>
    </row>
    <row r="4" spans="1:44" ht="23.25" hidden="1" customHeight="1">
      <c r="A4" s="1240"/>
      <c r="B4" s="1240"/>
      <c r="C4" s="1240"/>
      <c r="D4" s="1240"/>
      <c r="E4" s="16125"/>
      <c r="F4" s="16125"/>
      <c r="G4" s="16124">
        <v>1</v>
      </c>
      <c r="H4" s="1240"/>
      <c r="I4" s="1240"/>
      <c r="J4" s="1240"/>
      <c r="K4" s="1240"/>
      <c r="L4" s="1241"/>
      <c r="M4" s="1242"/>
      <c r="N4" s="1242"/>
      <c r="O4" s="1242"/>
      <c r="P4" s="270"/>
      <c r="Q4" s="268"/>
      <c r="R4" s="269"/>
      <c r="S4" s="1214" t="e">
        <f>INDEX(PT_DIFFERENTIATION_NUM_CS,MATCH(C4,PT_DIFFERENTIATION_CS_ID,0))</f>
        <v>#N/A</v>
      </c>
      <c r="T4" s="226" t="s">
        <v>536</v>
      </c>
      <c r="U4" s="217"/>
      <c r="V4" s="16110"/>
      <c r="W4" s="16111"/>
      <c r="X4" s="16111"/>
      <c r="Y4" s="16111"/>
      <c r="Z4" s="16111"/>
      <c r="AA4" s="16111"/>
      <c r="AB4" s="16111"/>
      <c r="AC4" s="16112"/>
      <c r="AD4" s="16110" t="e">
        <f>INDEX(PT_DIFFERENTIATION_CS,MATCH(C4,PT_DIFFERENTIATION_CS_ID,0))</f>
        <v>#N/A</v>
      </c>
      <c r="AE4" s="16111"/>
      <c r="AF4" s="16111"/>
      <c r="AG4" s="16111"/>
      <c r="AH4" s="16111"/>
      <c r="AI4" s="16111"/>
      <c r="AJ4" s="16111"/>
      <c r="AK4" s="16111"/>
      <c r="AL4" s="16112"/>
      <c r="AM4" s="1140" t="s">
        <v>537</v>
      </c>
      <c r="AO4" s="407"/>
      <c r="AP4" s="407" t="str">
        <f t="shared" si="0"/>
        <v xml:space="preserve">Наименование системы теплоснабжения </v>
      </c>
      <c r="AQ4" s="407"/>
      <c r="AR4" s="407"/>
    </row>
    <row r="5" spans="1:44" ht="21" hidden="1" customHeight="1">
      <c r="A5" s="1240"/>
      <c r="B5" s="1240"/>
      <c r="C5" s="1240"/>
      <c r="D5" s="1240"/>
      <c r="E5" s="16125"/>
      <c r="F5" s="16125"/>
      <c r="G5" s="16125"/>
      <c r="H5" s="16124">
        <v>1</v>
      </c>
      <c r="I5" s="1240"/>
      <c r="J5" s="1240"/>
      <c r="K5" s="1240"/>
      <c r="L5" s="1241"/>
      <c r="M5" s="1242"/>
      <c r="N5" s="1242"/>
      <c r="O5" s="1242"/>
      <c r="P5" s="270"/>
      <c r="Q5" s="268"/>
      <c r="R5" s="269"/>
      <c r="S5" s="1214" t="e">
        <f>INDEX(PT_DIFFERENTIATION_NUM_IST_TE,MATCH(D5,PT_DIFFERENTIATION_IST_TE_ID,0))</f>
        <v>#N/A</v>
      </c>
      <c r="T5" s="227" t="s">
        <v>538</v>
      </c>
      <c r="U5" s="217"/>
      <c r="V5" s="16110"/>
      <c r="W5" s="16111"/>
      <c r="X5" s="16111"/>
      <c r="Y5" s="16111"/>
      <c r="Z5" s="16111"/>
      <c r="AA5" s="16111"/>
      <c r="AB5" s="16111"/>
      <c r="AC5" s="16112"/>
      <c r="AD5" s="16110" t="e">
        <f>INDEX(PT_DIFFERENTIATION_IST_TE,MATCH(D5,PT_DIFFERENTIATION_IST_TE_ID,0))</f>
        <v>#N/A</v>
      </c>
      <c r="AE5" s="16111"/>
      <c r="AF5" s="16111"/>
      <c r="AG5" s="16111"/>
      <c r="AH5" s="16111"/>
      <c r="AI5" s="16111"/>
      <c r="AJ5" s="16111"/>
      <c r="AK5" s="16111"/>
      <c r="AL5" s="16112"/>
      <c r="AM5" s="1140" t="s">
        <v>539</v>
      </c>
      <c r="AO5" s="407"/>
      <c r="AP5" s="407" t="str">
        <f t="shared" si="0"/>
        <v xml:space="preserve">Источник тепловой энергии  </v>
      </c>
      <c r="AQ5" s="407"/>
      <c r="AR5" s="407"/>
    </row>
    <row r="6" spans="1:44" ht="14.25" hidden="1" customHeight="1">
      <c r="A6" s="1240"/>
      <c r="B6" s="1240"/>
      <c r="C6" s="1240"/>
      <c r="D6" s="1240"/>
      <c r="E6" s="16125"/>
      <c r="F6" s="16125"/>
      <c r="G6" s="16125"/>
      <c r="H6" s="16125"/>
      <c r="I6" s="16122" t="e">
        <f>S5&amp;".1"</f>
        <v>#N/A</v>
      </c>
      <c r="J6" s="1240"/>
      <c r="K6" s="1240"/>
      <c r="L6" s="1241" t="s">
        <v>540</v>
      </c>
      <c r="M6" s="443"/>
      <c r="P6" s="16123">
        <v>1</v>
      </c>
      <c r="Q6" s="1209"/>
      <c r="R6" s="272"/>
      <c r="S6" s="930"/>
      <c r="T6" s="1260"/>
      <c r="U6" s="1261"/>
      <c r="V6" s="16153"/>
      <c r="W6" s="16154"/>
      <c r="X6" s="16154"/>
      <c r="Y6" s="16154"/>
      <c r="Z6" s="16154"/>
      <c r="AA6" s="16154"/>
      <c r="AB6" s="16154"/>
      <c r="AC6" s="16155"/>
      <c r="AD6" s="16153"/>
      <c r="AE6" s="16154"/>
      <c r="AF6" s="16154"/>
      <c r="AG6" s="16154"/>
      <c r="AH6" s="16154"/>
      <c r="AI6" s="16154"/>
      <c r="AJ6" s="16154"/>
      <c r="AK6" s="16154"/>
      <c r="AL6" s="16155"/>
      <c r="AM6" s="1262"/>
      <c r="AO6" s="407"/>
      <c r="AP6" s="407" t="str">
        <f t="shared" si="0"/>
        <v/>
      </c>
      <c r="AQ6" s="407"/>
      <c r="AR6" s="407"/>
    </row>
    <row r="7" spans="1:44" ht="21" hidden="1" customHeight="1">
      <c r="A7" s="1240"/>
      <c r="B7" s="1240"/>
      <c r="C7" s="1240"/>
      <c r="D7" s="1240"/>
      <c r="E7" s="16125"/>
      <c r="F7" s="16125"/>
      <c r="G7" s="16125"/>
      <c r="H7" s="16125"/>
      <c r="I7" s="16145"/>
      <c r="J7" s="16122" t="e">
        <f>I6&amp;".1"</f>
        <v>#N/A</v>
      </c>
      <c r="K7" s="1240"/>
      <c r="L7" s="1241" t="s">
        <v>543</v>
      </c>
      <c r="M7" s="443"/>
      <c r="N7" s="1243"/>
      <c r="P7" s="16123"/>
      <c r="Q7" s="16123">
        <v>1</v>
      </c>
      <c r="R7" s="273"/>
      <c r="S7" s="1214" t="e">
        <f>$J7</f>
        <v>#N/A</v>
      </c>
      <c r="T7" s="203" t="s">
        <v>544</v>
      </c>
      <c r="U7" s="217"/>
      <c r="V7" s="16113"/>
      <c r="W7" s="16114"/>
      <c r="X7" s="16114"/>
      <c r="Y7" s="16114"/>
      <c r="Z7" s="16114"/>
      <c r="AA7" s="16114"/>
      <c r="AB7" s="16114"/>
      <c r="AC7" s="16115"/>
      <c r="AD7" s="16113"/>
      <c r="AE7" s="16114"/>
      <c r="AF7" s="16114"/>
      <c r="AG7" s="16114"/>
      <c r="AH7" s="16114"/>
      <c r="AI7" s="16114"/>
      <c r="AJ7" s="16114"/>
      <c r="AK7" s="16114"/>
      <c r="AL7" s="16115"/>
      <c r="AM7" s="1140" t="s">
        <v>545</v>
      </c>
      <c r="AO7" s="407"/>
      <c r="AP7" s="407" t="str">
        <f t="shared" si="0"/>
        <v>Группа потребителей</v>
      </c>
      <c r="AQ7" s="407"/>
      <c r="AR7" s="407"/>
    </row>
    <row r="8" spans="1:44" ht="21" hidden="1" customHeight="1">
      <c r="A8" s="1240"/>
      <c r="B8" s="1240"/>
      <c r="C8" s="1240"/>
      <c r="D8" s="1240"/>
      <c r="E8" s="16125"/>
      <c r="F8" s="16125"/>
      <c r="G8" s="16125"/>
      <c r="H8" s="16125"/>
      <c r="I8" s="16145"/>
      <c r="J8" s="16145"/>
      <c r="K8" s="16122" t="e">
        <f>J7&amp;".1"</f>
        <v>#N/A</v>
      </c>
      <c r="L8" s="1241" t="s">
        <v>546</v>
      </c>
      <c r="M8" s="443"/>
      <c r="N8" s="1243"/>
      <c r="O8" s="1243"/>
      <c r="P8" s="16123"/>
      <c r="Q8" s="16123"/>
      <c r="R8" s="273">
        <v>1</v>
      </c>
      <c r="S8" s="1214" t="e">
        <f>$K8</f>
        <v>#N/A</v>
      </c>
      <c r="T8" s="1225"/>
      <c r="U8" s="217"/>
      <c r="V8" s="649"/>
      <c r="W8" s="242"/>
      <c r="X8" s="649"/>
      <c r="Y8" s="1139"/>
      <c r="Z8" s="16127"/>
      <c r="AA8" s="15973" t="s">
        <v>66</v>
      </c>
      <c r="AB8" s="16127"/>
      <c r="AC8" s="15973" t="s">
        <v>66</v>
      </c>
      <c r="AD8" s="649"/>
      <c r="AE8" s="242"/>
      <c r="AF8" s="649"/>
      <c r="AG8" s="1139"/>
      <c r="AH8" s="16127"/>
      <c r="AI8" s="15973" t="s">
        <v>66</v>
      </c>
      <c r="AJ8" s="16127"/>
      <c r="AK8" s="15973" t="s">
        <v>66</v>
      </c>
      <c r="AL8" s="242"/>
      <c r="AM8" s="16119" t="s">
        <v>547</v>
      </c>
      <c r="AN8" s="418" t="e">
        <f ca="1">STRCHECKDATE(V9:AL9)</f>
        <v>#NAME?</v>
      </c>
      <c r="AO8" s="407"/>
      <c r="AP8" s="407" t="str">
        <f t="shared" si="0"/>
        <v/>
      </c>
      <c r="AQ8" s="407"/>
      <c r="AR8" s="407"/>
    </row>
    <row r="9" spans="1:44" ht="0.75" hidden="1" customHeight="1">
      <c r="A9" s="1240"/>
      <c r="B9" s="1240"/>
      <c r="C9" s="1240"/>
      <c r="D9" s="1240"/>
      <c r="E9" s="16125"/>
      <c r="F9" s="16125"/>
      <c r="G9" s="16125"/>
      <c r="H9" s="16125"/>
      <c r="I9" s="16145"/>
      <c r="J9" s="16145"/>
      <c r="K9" s="16122"/>
      <c r="L9" s="1241"/>
      <c r="M9" s="443"/>
      <c r="N9" s="1243"/>
      <c r="O9" s="1243"/>
      <c r="P9" s="16123"/>
      <c r="Q9" s="16123"/>
      <c r="R9" s="273"/>
      <c r="S9" s="1220"/>
      <c r="T9" s="217"/>
      <c r="U9" s="217"/>
      <c r="V9" s="242"/>
      <c r="W9" s="242"/>
      <c r="X9" s="242"/>
      <c r="Y9" s="245" t="str">
        <f>Z8&amp;"-"&amp;AB8</f>
        <v>-</v>
      </c>
      <c r="Z9" s="16128"/>
      <c r="AA9" s="15973"/>
      <c r="AB9" s="16128"/>
      <c r="AC9" s="15973"/>
      <c r="AD9" s="242"/>
      <c r="AE9" s="242"/>
      <c r="AF9" s="242"/>
      <c r="AG9" s="245" t="str">
        <f>AH8&amp;"-"&amp;AJ8</f>
        <v>-</v>
      </c>
      <c r="AH9" s="16128"/>
      <c r="AI9" s="15973"/>
      <c r="AJ9" s="16128"/>
      <c r="AK9" s="15973"/>
      <c r="AL9" s="242"/>
      <c r="AM9" s="16120"/>
      <c r="AO9" s="407"/>
      <c r="AP9" s="407" t="str">
        <f t="shared" si="0"/>
        <v/>
      </c>
      <c r="AQ9" s="407"/>
      <c r="AR9" s="407"/>
    </row>
    <row r="10" spans="1:44" ht="15" hidden="1" customHeight="1">
      <c r="A10" s="1240"/>
      <c r="B10" s="1240"/>
      <c r="C10" s="1240"/>
      <c r="D10" s="1240"/>
      <c r="E10" s="16125"/>
      <c r="F10" s="16125"/>
      <c r="G10" s="16125"/>
      <c r="H10" s="16125"/>
      <c r="I10" s="16145"/>
      <c r="J10" s="16122"/>
      <c r="K10" s="1240"/>
      <c r="L10" s="1241"/>
      <c r="M10" s="443"/>
      <c r="N10" s="1243"/>
      <c r="P10" s="16123"/>
      <c r="Q10" s="16123"/>
      <c r="R10" s="272"/>
      <c r="S10" s="1160"/>
      <c r="T10" s="204" t="s">
        <v>548</v>
      </c>
      <c r="U10" s="282"/>
      <c r="V10" s="282"/>
      <c r="W10" s="282"/>
      <c r="X10" s="282"/>
      <c r="Y10" s="282"/>
      <c r="Z10" s="282"/>
      <c r="AA10" s="282"/>
      <c r="AB10" s="282"/>
      <c r="AC10" s="282"/>
      <c r="AD10" s="282"/>
      <c r="AE10" s="282"/>
      <c r="AF10" s="282"/>
      <c r="AG10" s="282"/>
      <c r="AH10" s="282"/>
      <c r="AI10" s="282"/>
      <c r="AJ10" s="282"/>
      <c r="AK10" s="282"/>
      <c r="AL10" s="241"/>
      <c r="AM10" s="16121"/>
      <c r="AO10" s="407"/>
      <c r="AP10" s="407" t="str">
        <f t="shared" si="0"/>
        <v>Добавить вид теплоносителя (параметры теплоносителя)</v>
      </c>
      <c r="AQ10" s="407"/>
      <c r="AR10" s="407"/>
    </row>
    <row r="11" spans="1:44" ht="15" hidden="1" customHeight="1">
      <c r="A11" s="1240"/>
      <c r="B11" s="1240"/>
      <c r="C11" s="1240"/>
      <c r="D11" s="1240"/>
      <c r="E11" s="16125"/>
      <c r="F11" s="16125"/>
      <c r="G11" s="16125"/>
      <c r="H11" s="16125"/>
      <c r="I11" s="16122"/>
      <c r="J11" s="1240"/>
      <c r="K11" s="1240"/>
      <c r="L11" s="1241"/>
      <c r="M11" s="443"/>
      <c r="P11" s="16123"/>
      <c r="Q11" s="1209"/>
      <c r="R11" s="272"/>
      <c r="S11" s="1160"/>
      <c r="T11" s="280" t="s">
        <v>549</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16125"/>
      <c r="F12" s="16125"/>
      <c r="G12" s="16125"/>
      <c r="H12" s="16124"/>
      <c r="I12" s="1240"/>
      <c r="J12" s="1240"/>
      <c r="K12" s="1240"/>
      <c r="L12" s="1241"/>
      <c r="M12" s="1242"/>
      <c r="N12" s="1242"/>
      <c r="O12" s="443"/>
      <c r="P12" s="276"/>
      <c r="Q12" s="290"/>
      <c r="R12" s="271"/>
      <c r="S12" s="1263"/>
      <c r="T12" s="1264"/>
      <c r="U12" s="1265"/>
      <c r="V12" s="1265"/>
      <c r="W12" s="1265"/>
      <c r="X12" s="1265"/>
      <c r="Y12" s="1265"/>
      <c r="Z12" s="1265"/>
      <c r="AA12" s="1265"/>
      <c r="AB12" s="1265"/>
      <c r="AC12" s="1265"/>
      <c r="AD12" s="1265"/>
      <c r="AE12" s="1265"/>
      <c r="AF12" s="1265"/>
      <c r="AG12" s="1265"/>
      <c r="AH12" s="1265"/>
      <c r="AI12" s="1265"/>
      <c r="AJ12" s="1265"/>
      <c r="AK12" s="1265"/>
      <c r="AL12" s="1265"/>
      <c r="AM12" s="1266"/>
      <c r="AO12" s="407"/>
      <c r="AP12" s="407" t="str">
        <f t="shared" si="0"/>
        <v/>
      </c>
      <c r="AQ12" s="407"/>
      <c r="AR12" s="407"/>
    </row>
    <row r="13" spans="1:44" s="14418" customFormat="1" ht="0.75" hidden="1" customHeight="1">
      <c r="A13" s="1193"/>
      <c r="B13" s="1193"/>
      <c r="C13" s="1193"/>
      <c r="D13" s="1193"/>
      <c r="E13" s="16125"/>
      <c r="F13" s="16125"/>
      <c r="G13" s="16124"/>
      <c r="H13" s="1193"/>
      <c r="I13" s="1193"/>
      <c r="J13" s="1193"/>
      <c r="K13" s="1193"/>
      <c r="L13" s="1217"/>
      <c r="M13" s="1194"/>
      <c r="N13" s="1194"/>
      <c r="P13" s="1195"/>
      <c r="Q13" s="1196"/>
      <c r="R13" s="1195"/>
      <c r="S13" s="1197"/>
      <c r="T13" s="1198" t="s">
        <v>551</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4418" customFormat="1" ht="0.75" hidden="1" customHeight="1">
      <c r="A14" s="1193"/>
      <c r="B14" s="1193"/>
      <c r="C14" s="1193"/>
      <c r="D14" s="1193"/>
      <c r="E14" s="16125"/>
      <c r="F14" s="16124"/>
      <c r="G14" s="1193"/>
      <c r="H14" s="1193"/>
      <c r="I14" s="1193"/>
      <c r="J14" s="1193"/>
      <c r="K14" s="1193"/>
      <c r="L14" s="1217"/>
      <c r="M14" s="1200"/>
      <c r="N14" s="1200"/>
      <c r="P14" s="1195"/>
      <c r="Q14" s="1196"/>
      <c r="R14" s="1195"/>
      <c r="S14" s="1201"/>
      <c r="T14" s="1202" t="s">
        <v>290</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4418" customFormat="1" ht="0.75" hidden="1" customHeight="1">
      <c r="A15" s="1193"/>
      <c r="B15" s="1193"/>
      <c r="C15" s="1193"/>
      <c r="D15" s="1193"/>
      <c r="E15" s="16124"/>
      <c r="F15" s="1193"/>
      <c r="G15" s="1193"/>
      <c r="H15" s="1193"/>
      <c r="I15" s="1193"/>
      <c r="J15" s="1193"/>
      <c r="K15" s="1193"/>
      <c r="L15" s="1217"/>
      <c r="M15" s="1200"/>
      <c r="N15" s="1200"/>
      <c r="P15" s="1195"/>
      <c r="Q15" s="1196"/>
      <c r="R15" s="1195"/>
      <c r="S15" s="1201"/>
      <c r="T15" s="1204" t="s">
        <v>326</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16129"/>
      <c r="AI17" s="16130" t="s">
        <v>66</v>
      </c>
      <c r="AJ17" s="16129"/>
      <c r="AK17" s="16130" t="s">
        <v>66</v>
      </c>
    </row>
    <row r="18" spans="1:44" ht="14.25" hidden="1" customHeight="1">
      <c r="AD18" s="1237"/>
      <c r="AE18" s="1237"/>
      <c r="AF18" s="1237"/>
      <c r="AG18" s="245" t="str">
        <f>AH17&amp;"-"&amp;AJ17</f>
        <v>-</v>
      </c>
      <c r="AH18" s="16130"/>
      <c r="AI18" s="16130"/>
      <c r="AJ18" s="16130"/>
      <c r="AK18" s="16130"/>
    </row>
    <row r="19" spans="1:44" ht="14.25" hidden="1" customHeight="1">
      <c r="AK19" s="244"/>
    </row>
    <row r="20" spans="1:44" s="14419" customFormat="1" ht="22.5" hidden="1" customHeight="1">
      <c r="L20" s="1207"/>
      <c r="M20" s="1239"/>
      <c r="N20" s="1239"/>
      <c r="O20" s="1244" t="s">
        <v>552</v>
      </c>
      <c r="P20" s="1239"/>
      <c r="Q20" s="1248"/>
      <c r="R20" s="1248"/>
      <c r="S20" s="629"/>
      <c r="Z20" s="1244"/>
      <c r="AB20" s="1244"/>
      <c r="AC20" s="1243"/>
      <c r="AH20" s="1244"/>
      <c r="AJ20" s="1244"/>
      <c r="AK20" s="1243"/>
      <c r="AN20" s="418"/>
      <c r="AO20" s="418"/>
      <c r="AP20" s="418"/>
      <c r="AQ20" s="418"/>
      <c r="AR20" s="418"/>
    </row>
    <row r="21" spans="1:44" s="14419" customFormat="1" ht="14.25" hidden="1" customHeight="1">
      <c r="L21" s="1207"/>
      <c r="M21" s="1239"/>
      <c r="N21" s="1239"/>
      <c r="O21" s="1239"/>
      <c r="P21" s="1239"/>
      <c r="Q21" s="1248"/>
      <c r="R21" s="1248"/>
      <c r="S21" s="629"/>
      <c r="AC21" s="1243"/>
      <c r="AK21" s="1243"/>
      <c r="AN21" s="418"/>
      <c r="AO21" s="418"/>
      <c r="AP21" s="418"/>
      <c r="AQ21" s="418"/>
      <c r="AR21" s="418"/>
    </row>
    <row r="22" spans="1:44" s="14419" customFormat="1" ht="14.25" hidden="1" customHeight="1">
      <c r="L22" s="1207"/>
      <c r="M22" s="1239"/>
      <c r="N22" s="1239"/>
      <c r="O22" s="1241" t="s">
        <v>553</v>
      </c>
      <c r="P22" s="1239"/>
      <c r="Q22" s="1248"/>
      <c r="R22" s="1248"/>
      <c r="S22" s="629"/>
      <c r="T22" s="1041" t="s">
        <v>554</v>
      </c>
      <c r="AA22" s="108" t="s">
        <v>555</v>
      </c>
      <c r="AC22" s="108" t="s">
        <v>556</v>
      </c>
      <c r="AD22" s="1041" t="s">
        <v>554</v>
      </c>
      <c r="AI22" s="108" t="s">
        <v>557</v>
      </c>
      <c r="AK22" s="108" t="s">
        <v>556</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161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6108"/>
      <c r="U26" s="16108"/>
      <c r="V26" s="16108"/>
      <c r="W26" s="16108"/>
      <c r="X26" s="16108"/>
      <c r="Y26" s="16108"/>
      <c r="Z26" s="16108"/>
      <c r="AA26" s="16108"/>
      <c r="AB26" s="16108"/>
      <c r="AC26" s="16108"/>
      <c r="AD26" s="16108"/>
      <c r="AE26" s="16108"/>
      <c r="AF26" s="16108"/>
      <c r="AG26" s="16108"/>
      <c r="AH26" s="16108"/>
      <c r="AI26" s="16108"/>
      <c r="AJ26" s="16108"/>
      <c r="AK26" s="1125"/>
    </row>
    <row r="27" spans="1:44" ht="14.25" customHeight="1">
      <c r="Q27" s="291"/>
      <c r="R27" s="291"/>
      <c r="S27" s="16056" t="str">
        <f>IF(org=0,"Не определено",org)</f>
        <v>АО "Мурманэнергосбыт"</v>
      </c>
      <c r="T27" s="16056"/>
      <c r="U27" s="16056"/>
      <c r="V27" s="16056"/>
      <c r="W27" s="16056"/>
      <c r="X27" s="16056"/>
      <c r="Y27" s="16056"/>
      <c r="Z27" s="16056"/>
      <c r="AA27" s="16056"/>
      <c r="AB27" s="16056"/>
      <c r="AC27" s="16056"/>
      <c r="AD27" s="16056"/>
      <c r="AE27" s="16056"/>
      <c r="AF27" s="16056"/>
      <c r="AG27" s="16056"/>
      <c r="AH27" s="16056"/>
      <c r="AI27" s="16056"/>
      <c r="AJ27" s="16056"/>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4420" customFormat="1" ht="25.5" customHeight="1">
      <c r="A29" s="1245"/>
      <c r="B29" s="1245"/>
      <c r="C29" s="1245"/>
      <c r="D29" s="1245"/>
      <c r="E29" s="1245"/>
      <c r="F29" s="1245"/>
      <c r="G29" s="1245"/>
      <c r="H29" s="1245"/>
      <c r="I29" s="1245"/>
      <c r="J29" s="1245"/>
      <c r="K29" s="1245"/>
      <c r="L29" s="1246"/>
      <c r="M29" s="1245"/>
      <c r="N29" s="1245"/>
      <c r="O29" s="1245"/>
      <c r="S29" s="16116" t="s">
        <v>38</v>
      </c>
      <c r="T29" s="16116"/>
      <c r="U29" s="1249"/>
      <c r="V29" s="16117" t="str">
        <f>IF(TITLE_NAME_OR_PR_CHANGE="",IF(TITLE_NAME_OR_PR="","",TITLE_NAME_OR_PR),TITLE_NAME_OR_PR_CHANGE)</f>
        <v>Комитет по тарифному регулированию Мурманской области</v>
      </c>
      <c r="W29" s="16117"/>
      <c r="X29" s="16117"/>
      <c r="Y29" s="16117"/>
      <c r="Z29" s="16117"/>
      <c r="AA29" s="16117"/>
      <c r="AB29" s="16117"/>
      <c r="AC29" s="243"/>
      <c r="AD29" s="16117" t="str">
        <f>IF(TITLE_NAME_OR_PR_CHANGE="",IF(TITLE_NAME_OR_PR="","",TITLE_NAME_OR_PR),TITLE_NAME_OR_PR_CHANGE)</f>
        <v>Комитет по тарифному регулированию Мурманской области</v>
      </c>
      <c r="AE29" s="16117"/>
      <c r="AF29" s="16117"/>
      <c r="AG29" s="16117"/>
      <c r="AH29" s="16117"/>
      <c r="AI29" s="16117"/>
      <c r="AJ29" s="16117"/>
      <c r="AK29" s="243"/>
      <c r="AL29" s="243"/>
      <c r="AM29" s="198"/>
      <c r="AN29" s="283"/>
      <c r="AO29" s="283"/>
      <c r="AP29" s="283"/>
      <c r="AQ29" s="283"/>
      <c r="AR29" s="283"/>
    </row>
    <row r="30" spans="1:44" s="14420" customFormat="1" ht="18.75" customHeight="1">
      <c r="A30" s="1245"/>
      <c r="B30" s="1245"/>
      <c r="C30" s="1245"/>
      <c r="D30" s="1245"/>
      <c r="E30" s="1245"/>
      <c r="F30" s="1245"/>
      <c r="G30" s="1245"/>
      <c r="H30" s="1245"/>
      <c r="I30" s="1245"/>
      <c r="J30" s="1245"/>
      <c r="K30" s="1245"/>
      <c r="L30" s="1246"/>
      <c r="M30" s="1245"/>
      <c r="N30" s="1245"/>
      <c r="O30" s="1245"/>
      <c r="S30" s="16116" t="s">
        <v>558</v>
      </c>
      <c r="T30" s="16116"/>
      <c r="U30" s="1249"/>
      <c r="V30" s="16126">
        <f>IF(TITLE_DATE_PR_CHANGE="",IF(TITLE_DATE_PR="","",TITLE_DATE_PR),TITLE_DATE_PR_CHANGE)</f>
        <v>45379</v>
      </c>
      <c r="W30" s="16126"/>
      <c r="X30" s="16126"/>
      <c r="Y30" s="16126"/>
      <c r="Z30" s="16126"/>
      <c r="AA30" s="16126"/>
      <c r="AB30" s="16126"/>
      <c r="AC30" s="243"/>
      <c r="AD30" s="16126">
        <f>IF(TITLE_DATE_PR_CHANGE="",IF(TITLE_DATE_PR="","",TITLE_DATE_PR),TITLE_DATE_PR_CHANGE)</f>
        <v>45379</v>
      </c>
      <c r="AE30" s="16126"/>
      <c r="AF30" s="16126"/>
      <c r="AG30" s="16126"/>
      <c r="AH30" s="16126"/>
      <c r="AI30" s="16126"/>
      <c r="AJ30" s="16126"/>
      <c r="AK30" s="243"/>
      <c r="AL30" s="243"/>
      <c r="AM30" s="198"/>
      <c r="AN30" s="283"/>
      <c r="AO30" s="283"/>
      <c r="AP30" s="283"/>
      <c r="AQ30" s="283"/>
      <c r="AR30" s="283"/>
    </row>
    <row r="31" spans="1:44" s="14420" customFormat="1" ht="18.75" customHeight="1">
      <c r="A31" s="1245"/>
      <c r="B31" s="1245"/>
      <c r="C31" s="1245"/>
      <c r="D31" s="1245"/>
      <c r="E31" s="1245"/>
      <c r="F31" s="1245"/>
      <c r="G31" s="1245"/>
      <c r="H31" s="1245"/>
      <c r="I31" s="1245"/>
      <c r="J31" s="1245"/>
      <c r="K31" s="1245"/>
      <c r="L31" s="1246"/>
      <c r="M31" s="1245"/>
      <c r="N31" s="1245"/>
      <c r="O31" s="1245"/>
      <c r="S31" s="16116" t="s">
        <v>559</v>
      </c>
      <c r="T31" s="16116"/>
      <c r="U31" s="1249"/>
      <c r="V31" s="16117" t="str">
        <f>IF(TITLE_NUMBER_PR_CHANGE="",IF(TITLE_NUMBER_PR="","",TITLE_NUMBER_PR),TITLE_NUMBER_PR_CHANGE)</f>
        <v>8/6</v>
      </c>
      <c r="W31" s="16117"/>
      <c r="X31" s="16117"/>
      <c r="Y31" s="16117"/>
      <c r="Z31" s="16117"/>
      <c r="AA31" s="16117"/>
      <c r="AB31" s="16117"/>
      <c r="AC31" s="243"/>
      <c r="AD31" s="16117" t="str">
        <f>IF(TITLE_NUMBER_PR_CHANGE="",IF(TITLE_NUMBER_PR="","",TITLE_NUMBER_PR),TITLE_NUMBER_PR_CHANGE)</f>
        <v>8/6</v>
      </c>
      <c r="AE31" s="16117"/>
      <c r="AF31" s="16117"/>
      <c r="AG31" s="16117"/>
      <c r="AH31" s="16117"/>
      <c r="AI31" s="16117"/>
      <c r="AJ31" s="16117"/>
      <c r="AK31" s="243"/>
      <c r="AL31" s="243"/>
      <c r="AM31" s="198"/>
      <c r="AN31" s="283"/>
      <c r="AO31" s="283"/>
      <c r="AP31" s="283"/>
      <c r="AQ31" s="283"/>
      <c r="AR31" s="283"/>
    </row>
    <row r="32" spans="1:44" s="14420" customFormat="1" ht="18.75" customHeight="1">
      <c r="A32" s="1245"/>
      <c r="B32" s="1245"/>
      <c r="C32" s="1245"/>
      <c r="D32" s="1245"/>
      <c r="E32" s="1245"/>
      <c r="F32" s="1245"/>
      <c r="G32" s="1245"/>
      <c r="H32" s="1245"/>
      <c r="I32" s="1245"/>
      <c r="J32" s="1245"/>
      <c r="K32" s="1245"/>
      <c r="L32" s="1246"/>
      <c r="M32" s="1245"/>
      <c r="N32" s="1245"/>
      <c r="O32" s="1245"/>
      <c r="S32" s="16116" t="s">
        <v>40</v>
      </c>
      <c r="T32" s="16116"/>
      <c r="U32" s="1249"/>
      <c r="V32" s="16117" t="str">
        <f>IF(TITLE_IST_PUB_CHANGE="",IF(TITLE_IST_PUB="","",TITLE_IST_PUB),TITLE_IST_PUB_CHANGE)</f>
        <v>https://npa.gov-murman.ru/bitrix/components/b1team/govmurman.element.file/download.php?ID=518761&amp;FID=765125</v>
      </c>
      <c r="W32" s="16117"/>
      <c r="X32" s="16117"/>
      <c r="Y32" s="16117"/>
      <c r="Z32" s="16117"/>
      <c r="AA32" s="16117"/>
      <c r="AB32" s="16117"/>
      <c r="AC32" s="243"/>
      <c r="AD32" s="16117" t="str">
        <f>IF(TITLE_IST_PUB_CHANGE="",IF(TITLE_IST_PUB="","",TITLE_IST_PUB),TITLE_IST_PUB_CHANGE)</f>
        <v>https://npa.gov-murman.ru/bitrix/components/b1team/govmurman.element.file/download.php?ID=518761&amp;FID=765125</v>
      </c>
      <c r="AE32" s="16117"/>
      <c r="AF32" s="16117"/>
      <c r="AG32" s="16117"/>
      <c r="AH32" s="16117"/>
      <c r="AI32" s="16117"/>
      <c r="AJ32" s="16117"/>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4420" customFormat="1" ht="18.75" hidden="1" customHeight="1">
      <c r="A34" s="1245"/>
      <c r="B34" s="1245"/>
      <c r="C34" s="1245"/>
      <c r="D34" s="1245"/>
      <c r="E34" s="1245"/>
      <c r="F34" s="1245"/>
      <c r="G34" s="1245"/>
      <c r="H34" s="1245"/>
      <c r="I34" s="1245"/>
      <c r="J34" s="1245"/>
      <c r="K34" s="1245"/>
      <c r="L34" s="1246"/>
      <c r="M34" s="1245"/>
      <c r="N34" s="1245"/>
      <c r="O34" s="1245"/>
      <c r="S34" s="16116" t="s">
        <v>560</v>
      </c>
      <c r="T34" s="16116"/>
      <c r="U34" s="1249"/>
      <c r="V34" s="16126">
        <f>IF(TITLE_DATE_PR_CHANGE="",IF(TITLE_DATE_PR="","",TITLE_DATE_PR),TITLE_DATE_PR_CHANGE)</f>
        <v>45379</v>
      </c>
      <c r="W34" s="16126"/>
      <c r="X34" s="16126"/>
      <c r="Y34" s="16126"/>
      <c r="Z34" s="16126"/>
      <c r="AA34" s="16126"/>
      <c r="AB34" s="16126"/>
      <c r="AC34" s="243"/>
      <c r="AD34" s="16126">
        <f>IF(TITLE_DATE_PR_CHANGE="",IF(TITLE_DATE_PR="","",TITLE_DATE_PR),TITLE_DATE_PR_CHANGE)</f>
        <v>45379</v>
      </c>
      <c r="AE34" s="16126"/>
      <c r="AF34" s="16126"/>
      <c r="AG34" s="16126"/>
      <c r="AH34" s="16126"/>
      <c r="AI34" s="16126"/>
      <c r="AJ34" s="16126"/>
      <c r="AK34" s="243"/>
      <c r="AL34" s="243"/>
      <c r="AM34" s="198"/>
      <c r="AN34" s="283"/>
      <c r="AO34" s="283"/>
      <c r="AP34" s="283"/>
      <c r="AQ34" s="283"/>
      <c r="AR34" s="283"/>
    </row>
    <row r="35" spans="1:44" s="14420" customFormat="1" ht="18.75" hidden="1" customHeight="1">
      <c r="A35" s="1245"/>
      <c r="B35" s="1245"/>
      <c r="C35" s="1245"/>
      <c r="D35" s="1245"/>
      <c r="E35" s="1245"/>
      <c r="F35" s="1245"/>
      <c r="G35" s="1245"/>
      <c r="H35" s="1245"/>
      <c r="I35" s="1245"/>
      <c r="J35" s="1245"/>
      <c r="K35" s="1245"/>
      <c r="L35" s="1246"/>
      <c r="M35" s="1245"/>
      <c r="N35" s="1245"/>
      <c r="O35" s="1245"/>
      <c r="S35" s="16116" t="s">
        <v>561</v>
      </c>
      <c r="T35" s="16116"/>
      <c r="U35" s="1249"/>
      <c r="V35" s="16117" t="str">
        <f>IF(TITLE_NUMBER_PR_CHANGE="",IF(TITLE_NUMBER_PR="","",TITLE_NUMBER_PR),TITLE_NUMBER_PR_CHANGE)</f>
        <v>8/6</v>
      </c>
      <c r="W35" s="16117"/>
      <c r="X35" s="16117"/>
      <c r="Y35" s="16117"/>
      <c r="Z35" s="16117"/>
      <c r="AA35" s="16117"/>
      <c r="AB35" s="16117"/>
      <c r="AC35" s="243"/>
      <c r="AD35" s="16117" t="str">
        <f>IF(TITLE_NUMBER_PR_CHANGE="",IF(TITLE_NUMBER_PR="","",TITLE_NUMBER_PR),TITLE_NUMBER_PR_CHANGE)</f>
        <v>8/6</v>
      </c>
      <c r="AE35" s="16117"/>
      <c r="AF35" s="16117"/>
      <c r="AG35" s="16117"/>
      <c r="AH35" s="16117"/>
      <c r="AI35" s="16117"/>
      <c r="AJ35" s="16117"/>
      <c r="AK35" s="243"/>
      <c r="AL35" s="243"/>
      <c r="AM35" s="198"/>
      <c r="AN35" s="283"/>
      <c r="AO35" s="283"/>
      <c r="AP35" s="283"/>
      <c r="AQ35" s="283"/>
      <c r="AR35" s="283"/>
    </row>
    <row r="36" spans="1:44" s="14420"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562</v>
      </c>
      <c r="AD36" s="243"/>
      <c r="AE36" s="243"/>
      <c r="AF36" s="243"/>
      <c r="AG36" s="243"/>
      <c r="AH36" s="243"/>
      <c r="AI36" s="243"/>
      <c r="AJ36" s="243"/>
      <c r="AK36" s="196" t="s">
        <v>562</v>
      </c>
      <c r="AN36" s="283"/>
      <c r="AO36" s="283"/>
      <c r="AP36" s="283"/>
      <c r="AQ36" s="283"/>
      <c r="AR36" s="283"/>
    </row>
    <row r="37" spans="1:44" ht="14.25" customHeight="1">
      <c r="Q37" s="291"/>
      <c r="R37" s="291"/>
      <c r="S37" s="1157"/>
      <c r="T37" s="279"/>
      <c r="U37" s="1126"/>
      <c r="V37" s="16118"/>
      <c r="W37" s="16118"/>
      <c r="X37" s="16118"/>
      <c r="Y37" s="16118"/>
      <c r="Z37" s="16118"/>
      <c r="AA37" s="16118"/>
      <c r="AB37" s="16118"/>
      <c r="AC37" s="16118"/>
      <c r="AD37" s="16118"/>
      <c r="AE37" s="16118"/>
      <c r="AF37" s="16118"/>
      <c r="AG37" s="16118"/>
      <c r="AH37" s="16118"/>
      <c r="AI37" s="16118"/>
      <c r="AJ37" s="16118"/>
      <c r="AK37" s="16118"/>
    </row>
    <row r="38" spans="1:44" ht="14.25" customHeight="1">
      <c r="Q38" s="291"/>
      <c r="R38" s="291"/>
      <c r="S38" s="15992" t="s">
        <v>437</v>
      </c>
      <c r="T38" s="15992"/>
      <c r="U38" s="15992"/>
      <c r="V38" s="15992"/>
      <c r="W38" s="15992"/>
      <c r="X38" s="15992"/>
      <c r="Y38" s="15992"/>
      <c r="Z38" s="15992"/>
      <c r="AA38" s="15992"/>
      <c r="AB38" s="15992"/>
      <c r="AC38" s="15992"/>
      <c r="AD38" s="15992"/>
      <c r="AE38" s="15992"/>
      <c r="AF38" s="15992"/>
      <c r="AG38" s="15992"/>
      <c r="AH38" s="15992"/>
      <c r="AI38" s="15992"/>
      <c r="AJ38" s="15992"/>
      <c r="AK38" s="15992"/>
      <c r="AL38" s="15992"/>
      <c r="AM38" s="15992" t="s">
        <v>438</v>
      </c>
    </row>
    <row r="39" spans="1:44" ht="14.25" customHeight="1">
      <c r="Q39" s="291"/>
      <c r="R39" s="291"/>
      <c r="S39" s="16132" t="s">
        <v>87</v>
      </c>
      <c r="T39" s="16084" t="s">
        <v>563</v>
      </c>
      <c r="U39" s="218"/>
      <c r="V39" s="16133" t="s">
        <v>564</v>
      </c>
      <c r="W39" s="16134"/>
      <c r="X39" s="16134"/>
      <c r="Y39" s="16134"/>
      <c r="Z39" s="16134"/>
      <c r="AA39" s="16134"/>
      <c r="AB39" s="16135"/>
      <c r="AC39" s="16136" t="s">
        <v>565</v>
      </c>
      <c r="AD39" s="16133" t="s">
        <v>564</v>
      </c>
      <c r="AE39" s="16134"/>
      <c r="AF39" s="16134"/>
      <c r="AG39" s="16134"/>
      <c r="AH39" s="16134"/>
      <c r="AI39" s="16134"/>
      <c r="AJ39" s="16135"/>
      <c r="AK39" s="16136" t="s">
        <v>566</v>
      </c>
      <c r="AL39" s="16139" t="s">
        <v>567</v>
      </c>
      <c r="AM39" s="15992"/>
    </row>
    <row r="40" spans="1:44" ht="33.75" customHeight="1">
      <c r="Q40" s="291"/>
      <c r="R40" s="291"/>
      <c r="S40" s="16132"/>
      <c r="T40" s="16084"/>
      <c r="U40" s="919"/>
      <c r="V40" s="16055" t="s">
        <v>568</v>
      </c>
      <c r="W40" s="16142"/>
      <c r="X40" s="15963" t="s">
        <v>570</v>
      </c>
      <c r="Y40" s="15962"/>
      <c r="Z40" s="15963" t="s">
        <v>571</v>
      </c>
      <c r="AA40" s="15968"/>
      <c r="AB40" s="15962"/>
      <c r="AC40" s="16137"/>
      <c r="AD40" s="16055" t="s">
        <v>584</v>
      </c>
      <c r="AE40" s="16142"/>
      <c r="AF40" s="15963" t="s">
        <v>570</v>
      </c>
      <c r="AG40" s="15962"/>
      <c r="AH40" s="15963" t="s">
        <v>571</v>
      </c>
      <c r="AI40" s="15968"/>
      <c r="AJ40" s="15962"/>
      <c r="AK40" s="16137"/>
      <c r="AL40" s="16140"/>
      <c r="AM40" s="15992"/>
    </row>
    <row r="41" spans="1:44" ht="33.75" customHeight="1">
      <c r="A41" s="1247"/>
      <c r="B41" s="1247" t="s">
        <v>170</v>
      </c>
      <c r="C41" s="1247" t="s">
        <v>171</v>
      </c>
      <c r="D41" s="1247" t="s">
        <v>172</v>
      </c>
      <c r="E41" s="1241" t="s">
        <v>572</v>
      </c>
      <c r="F41" s="1241" t="s">
        <v>573</v>
      </c>
      <c r="G41" s="1241" t="s">
        <v>574</v>
      </c>
      <c r="H41" s="1241" t="s">
        <v>575</v>
      </c>
      <c r="I41" s="1241" t="s">
        <v>576</v>
      </c>
      <c r="J41" s="1241" t="s">
        <v>577</v>
      </c>
      <c r="K41" s="1241" t="s">
        <v>578</v>
      </c>
      <c r="L41" s="1241" t="s">
        <v>553</v>
      </c>
      <c r="Q41" s="291"/>
      <c r="R41" s="291"/>
      <c r="S41" s="16132"/>
      <c r="T41" s="16084"/>
      <c r="U41" s="219"/>
      <c r="V41" s="16103"/>
      <c r="W41" s="16143"/>
      <c r="X41" s="1104" t="s">
        <v>579</v>
      </c>
      <c r="Y41" s="1104" t="s">
        <v>580</v>
      </c>
      <c r="Z41" s="1216" t="s">
        <v>581</v>
      </c>
      <c r="AA41" s="16092" t="s">
        <v>582</v>
      </c>
      <c r="AB41" s="16094"/>
      <c r="AC41" s="16138"/>
      <c r="AD41" s="16103"/>
      <c r="AE41" s="16143"/>
      <c r="AF41" s="1104" t="s">
        <v>579</v>
      </c>
      <c r="AG41" s="1104" t="s">
        <v>580</v>
      </c>
      <c r="AH41" s="1216" t="s">
        <v>581</v>
      </c>
      <c r="AI41" s="16092" t="s">
        <v>582</v>
      </c>
      <c r="AJ41" s="16094"/>
      <c r="AK41" s="16138"/>
      <c r="AL41" s="16141"/>
      <c r="AM41" s="15992"/>
    </row>
    <row r="42" spans="1:44" s="14405"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147</v>
      </c>
      <c r="T42" s="1137" t="s">
        <v>102</v>
      </c>
      <c r="U42" s="1127" t="str">
        <f ca="1">OFFSET(U42,0,-1)</f>
        <v>2</v>
      </c>
      <c r="V42" s="1213">
        <f ca="1">OFFSET(V42,0,-1)+1</f>
        <v>3</v>
      </c>
      <c r="W42" s="1213"/>
      <c r="X42" s="1213">
        <f ca="1">OFFSET(X42,0,-1)+1</f>
        <v>1</v>
      </c>
      <c r="Y42" s="1213">
        <f ca="1">OFFSET(Y42,0,-1)+1</f>
        <v>2</v>
      </c>
      <c r="Z42" s="1213">
        <f ca="1">OFFSET(Z42,0,-1)+1</f>
        <v>3</v>
      </c>
      <c r="AA42" s="16131">
        <f ca="1">OFFSET(AA42,0,-1)+1</f>
        <v>4</v>
      </c>
      <c r="AB42" s="16131"/>
      <c r="AC42" s="1213">
        <f ca="1">OFFSET(AC42,0,-2)+1</f>
        <v>5</v>
      </c>
      <c r="AD42" s="1213">
        <f ca="1">OFFSET(AD42,0,-1)+1</f>
        <v>6</v>
      </c>
      <c r="AE42" s="1213"/>
      <c r="AF42" s="1213">
        <f ca="1">OFFSET(AF42,0,-1)+1</f>
        <v>1</v>
      </c>
      <c r="AG42" s="1213">
        <f ca="1">OFFSET(AG42,0,-1)+1</f>
        <v>2</v>
      </c>
      <c r="AH42" s="1213">
        <f ca="1">OFFSET(AH42,0,-1)+1</f>
        <v>3</v>
      </c>
      <c r="AI42" s="16131">
        <f ca="1">OFFSET(AI42,0,-1)+1</f>
        <v>4</v>
      </c>
      <c r="AJ42" s="16131"/>
      <c r="AK42" s="1213">
        <f ca="1">OFFSET(AK42,0,-2)+1</f>
        <v>5</v>
      </c>
      <c r="AL42" s="1127">
        <f ca="1">OFFSET(AL42,0,-1)</f>
        <v>5</v>
      </c>
      <c r="AM42" s="1213">
        <f ca="1">OFFSET(AM42,0,-1)+1</f>
        <v>6</v>
      </c>
      <c r="AN42" s="418"/>
      <c r="AO42" s="418"/>
      <c r="AP42" s="418"/>
      <c r="AQ42" s="418"/>
      <c r="AR42" s="418"/>
    </row>
    <row r="43" spans="1:44" ht="21" customHeight="1">
      <c r="A43" s="1240" t="s">
        <v>199</v>
      </c>
      <c r="B43" s="1240"/>
      <c r="C43" s="1240"/>
      <c r="D43" s="1240"/>
      <c r="E43" s="16124">
        <v>1</v>
      </c>
      <c r="F43" s="1240"/>
      <c r="G43" s="1240"/>
      <c r="H43" s="1240"/>
      <c r="I43" s="1240"/>
      <c r="J43" s="1240"/>
      <c r="K43" s="1240"/>
      <c r="L43" s="1241"/>
      <c r="M43" s="1242"/>
      <c r="N43" s="1242"/>
      <c r="O43" s="1242"/>
      <c r="P43" s="277"/>
      <c r="Q43" s="276"/>
      <c r="R43" s="271"/>
      <c r="S43" s="1214">
        <f>INDEX(PT_DIFFERENTIATION_NUM_NTAR,MATCH(A43,PT_DIFFERENTIATION_NTAR_ID,0))</f>
        <v>0</v>
      </c>
      <c r="T43" s="215" t="s">
        <v>158</v>
      </c>
      <c r="U43" s="217"/>
      <c r="V43" s="16110"/>
      <c r="W43" s="16111"/>
      <c r="X43" s="16111"/>
      <c r="Y43" s="16111"/>
      <c r="Z43" s="16111"/>
      <c r="AA43" s="16111"/>
      <c r="AB43" s="16111"/>
      <c r="AC43" s="16112"/>
      <c r="AD43" s="16110" t="str">
        <f>INDEX(PT_DIFFERENTIATION_NTAR,MATCH(A43,PT_DIFFERENTIATION_NTAR_ID,0))</f>
        <v/>
      </c>
      <c r="AE43" s="16111"/>
      <c r="AF43" s="16111"/>
      <c r="AG43" s="16111"/>
      <c r="AH43" s="16111"/>
      <c r="AI43" s="16111"/>
      <c r="AJ43" s="16111"/>
      <c r="AK43" s="16111"/>
      <c r="AL43" s="16112"/>
      <c r="AM43" s="11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199</v>
      </c>
      <c r="B44" s="1240" t="s">
        <v>200</v>
      </c>
      <c r="C44" s="1240"/>
      <c r="D44" s="1240"/>
      <c r="E44" s="16125"/>
      <c r="F44" s="16124">
        <v>1</v>
      </c>
      <c r="G44" s="1240"/>
      <c r="H44" s="1240"/>
      <c r="I44" s="1240"/>
      <c r="J44" s="1240"/>
      <c r="K44" s="1240"/>
      <c r="L44" s="1241"/>
      <c r="M44" s="1242"/>
      <c r="N44" s="1242"/>
      <c r="O44" s="1242"/>
      <c r="P44" s="1210"/>
      <c r="Q44" s="268"/>
      <c r="R44" s="269"/>
      <c r="S44" s="1214" t="str">
        <f>INDEX(PT_DIFFERENTIATION_NUM_TER,MATCH(B44,PT_DIFFERENTIATION_TER_ID,0))</f>
        <v>.</v>
      </c>
      <c r="T44" s="225" t="s">
        <v>534</v>
      </c>
      <c r="U44" s="217"/>
      <c r="V44" s="16110"/>
      <c r="W44" s="16111"/>
      <c r="X44" s="16111"/>
      <c r="Y44" s="16111"/>
      <c r="Z44" s="16111"/>
      <c r="AA44" s="16111"/>
      <c r="AB44" s="16111"/>
      <c r="AC44" s="16112"/>
      <c r="AD44" s="16110" t="str">
        <f>INDEX(PT_DIFFERENTIATION_TER,MATCH(B44,PT_DIFFERENTIATION_TER_ID,0))</f>
        <v/>
      </c>
      <c r="AE44" s="16111"/>
      <c r="AF44" s="16111"/>
      <c r="AG44" s="16111"/>
      <c r="AH44" s="16111"/>
      <c r="AI44" s="16111"/>
      <c r="AJ44" s="16111"/>
      <c r="AK44" s="16111"/>
      <c r="AL44" s="16112"/>
      <c r="AM44" s="1140" t="s">
        <v>535</v>
      </c>
      <c r="AO44" s="407"/>
      <c r="AP44" s="407" t="str">
        <f t="shared" si="1"/>
        <v>Территория действия тарифа</v>
      </c>
      <c r="AQ44" s="407"/>
      <c r="AR44" s="407"/>
    </row>
    <row r="45" spans="1:44" ht="23.25" customHeight="1">
      <c r="A45" s="1240" t="s">
        <v>199</v>
      </c>
      <c r="B45" s="1240" t="s">
        <v>200</v>
      </c>
      <c r="C45" s="1240" t="s">
        <v>201</v>
      </c>
      <c r="D45" s="1240"/>
      <c r="E45" s="16125"/>
      <c r="F45" s="16125"/>
      <c r="G45" s="16124">
        <v>1</v>
      </c>
      <c r="H45" s="1240"/>
      <c r="I45" s="1240"/>
      <c r="J45" s="1240"/>
      <c r="K45" s="1240"/>
      <c r="L45" s="1241"/>
      <c r="M45" s="1242"/>
      <c r="N45" s="1242"/>
      <c r="O45" s="1242"/>
      <c r="P45" s="270"/>
      <c r="Q45" s="268"/>
      <c r="R45" s="269"/>
      <c r="S45" s="1214" t="str">
        <f>INDEX(PT_DIFFERENTIATION_NUM_CS,MATCH(C45,PT_DIFFERENTIATION_CS_ID,0))</f>
        <v>..</v>
      </c>
      <c r="T45" s="226" t="s">
        <v>536</v>
      </c>
      <c r="U45" s="217"/>
      <c r="V45" s="16110"/>
      <c r="W45" s="16111"/>
      <c r="X45" s="16111"/>
      <c r="Y45" s="16111"/>
      <c r="Z45" s="16111"/>
      <c r="AA45" s="16111"/>
      <c r="AB45" s="16111"/>
      <c r="AC45" s="16112"/>
      <c r="AD45" s="16110" t="str">
        <f>INDEX(PT_DIFFERENTIATION_CS,MATCH(C45,PT_DIFFERENTIATION_CS_ID,0))</f>
        <v/>
      </c>
      <c r="AE45" s="16111"/>
      <c r="AF45" s="16111"/>
      <c r="AG45" s="16111"/>
      <c r="AH45" s="16111"/>
      <c r="AI45" s="16111"/>
      <c r="AJ45" s="16111"/>
      <c r="AK45" s="16111"/>
      <c r="AL45" s="16112"/>
      <c r="AM45" s="1140" t="s">
        <v>537</v>
      </c>
      <c r="AO45" s="407"/>
      <c r="AP45" s="407" t="str">
        <f t="shared" si="1"/>
        <v xml:space="preserve">Наименование системы теплоснабжения </v>
      </c>
      <c r="AQ45" s="407"/>
      <c r="AR45" s="407"/>
    </row>
    <row r="46" spans="1:44" ht="21" customHeight="1">
      <c r="A46" s="1240" t="s">
        <v>199</v>
      </c>
      <c r="B46" s="1240" t="s">
        <v>200</v>
      </c>
      <c r="C46" s="1240" t="s">
        <v>201</v>
      </c>
      <c r="D46" s="1240" t="s">
        <v>202</v>
      </c>
      <c r="E46" s="16125"/>
      <c r="F46" s="16125"/>
      <c r="G46" s="16125"/>
      <c r="H46" s="16124">
        <v>1</v>
      </c>
      <c r="I46" s="1240"/>
      <c r="J46" s="1240"/>
      <c r="K46" s="1240"/>
      <c r="L46" s="1241"/>
      <c r="M46" s="1242"/>
      <c r="N46" s="1242"/>
      <c r="O46" s="1242"/>
      <c r="P46" s="270"/>
      <c r="Q46" s="268"/>
      <c r="R46" s="269"/>
      <c r="S46" s="1214" t="str">
        <f>INDEX(PT_DIFFERENTIATION_NUM_IST_TE,MATCH(D46,PT_DIFFERENTIATION_IST_TE_ID,0))</f>
        <v>...</v>
      </c>
      <c r="T46" s="227" t="s">
        <v>538</v>
      </c>
      <c r="U46" s="217"/>
      <c r="V46" s="16110"/>
      <c r="W46" s="16111"/>
      <c r="X46" s="16111"/>
      <c r="Y46" s="16111"/>
      <c r="Z46" s="16111"/>
      <c r="AA46" s="16111"/>
      <c r="AB46" s="16111"/>
      <c r="AC46" s="16112"/>
      <c r="AD46" s="16110" t="str">
        <f>INDEX(PT_DIFFERENTIATION_IST_TE,MATCH(D46,PT_DIFFERENTIATION_IST_TE_ID,0))</f>
        <v/>
      </c>
      <c r="AE46" s="16111"/>
      <c r="AF46" s="16111"/>
      <c r="AG46" s="16111"/>
      <c r="AH46" s="16111"/>
      <c r="AI46" s="16111"/>
      <c r="AJ46" s="16111"/>
      <c r="AK46" s="16111"/>
      <c r="AL46" s="16112"/>
      <c r="AM46" s="1140" t="s">
        <v>539</v>
      </c>
      <c r="AO46" s="407"/>
      <c r="AP46" s="407" t="str">
        <f t="shared" si="1"/>
        <v xml:space="preserve">Источник тепловой энергии  </v>
      </c>
      <c r="AQ46" s="407"/>
      <c r="AR46" s="407"/>
    </row>
    <row r="47" spans="1:44" s="14421" customFormat="1" ht="0" hidden="1" customHeight="1">
      <c r="A47" s="1221" t="s">
        <v>199</v>
      </c>
      <c r="B47" s="1221" t="s">
        <v>200</v>
      </c>
      <c r="C47" s="1221" t="s">
        <v>201</v>
      </c>
      <c r="D47" s="1221" t="s">
        <v>202</v>
      </c>
      <c r="E47" s="16125"/>
      <c r="F47" s="16125"/>
      <c r="G47" s="16125"/>
      <c r="H47" s="16125"/>
      <c r="I47" s="16122" t="str">
        <f>S46&amp;".1"</f>
        <v>....1</v>
      </c>
      <c r="J47" s="1221"/>
      <c r="K47" s="1221"/>
      <c r="L47" s="1224" t="s">
        <v>540</v>
      </c>
      <c r="M47" s="417"/>
      <c r="N47" s="417"/>
      <c r="O47" s="417"/>
      <c r="P47" s="16123">
        <v>1</v>
      </c>
      <c r="Q47" s="1209"/>
      <c r="R47" s="272"/>
      <c r="S47" s="930"/>
      <c r="T47" s="1260"/>
      <c r="U47" s="1261"/>
      <c r="V47" s="16153"/>
      <c r="W47" s="16154"/>
      <c r="X47" s="16154"/>
      <c r="Y47" s="16154"/>
      <c r="Z47" s="16154"/>
      <c r="AA47" s="16154"/>
      <c r="AB47" s="16154"/>
      <c r="AC47" s="16155"/>
      <c r="AD47" s="16153"/>
      <c r="AE47" s="16154"/>
      <c r="AF47" s="16154"/>
      <c r="AG47" s="16154"/>
      <c r="AH47" s="16154"/>
      <c r="AI47" s="16154"/>
      <c r="AJ47" s="16154"/>
      <c r="AK47" s="16154"/>
      <c r="AL47" s="16155"/>
      <c r="AM47" s="1262"/>
      <c r="AO47" s="407"/>
      <c r="AP47" s="407" t="str">
        <f t="shared" si="1"/>
        <v/>
      </c>
      <c r="AQ47" s="407"/>
      <c r="AR47" s="407"/>
    </row>
    <row r="48" spans="1:44" ht="21" customHeight="1">
      <c r="A48" s="1240" t="s">
        <v>199</v>
      </c>
      <c r="B48" s="1240" t="s">
        <v>200</v>
      </c>
      <c r="C48" s="1240" t="s">
        <v>201</v>
      </c>
      <c r="D48" s="1240" t="s">
        <v>202</v>
      </c>
      <c r="E48" s="16125"/>
      <c r="F48" s="16125"/>
      <c r="G48" s="16125"/>
      <c r="H48" s="16125"/>
      <c r="I48" s="16145"/>
      <c r="J48" s="16122" t="str">
        <f>S46&amp;".1"</f>
        <v>....1</v>
      </c>
      <c r="K48" s="1240"/>
      <c r="L48" s="1241" t="s">
        <v>543</v>
      </c>
      <c r="P48" s="16123"/>
      <c r="Q48" s="16123">
        <v>1</v>
      </c>
      <c r="R48" s="273"/>
      <c r="S48" s="1214" t="str">
        <f>$J48</f>
        <v>....1</v>
      </c>
      <c r="T48" s="203" t="s">
        <v>544</v>
      </c>
      <c r="U48" s="217"/>
      <c r="V48" s="16113"/>
      <c r="W48" s="16114"/>
      <c r="X48" s="16114"/>
      <c r="Y48" s="16114"/>
      <c r="Z48" s="16114"/>
      <c r="AA48" s="16114"/>
      <c r="AB48" s="16114"/>
      <c r="AC48" s="16115"/>
      <c r="AD48" s="16113"/>
      <c r="AE48" s="16114"/>
      <c r="AF48" s="16114"/>
      <c r="AG48" s="16114"/>
      <c r="AH48" s="16114"/>
      <c r="AI48" s="16114"/>
      <c r="AJ48" s="16114"/>
      <c r="AK48" s="16114"/>
      <c r="AL48" s="16115"/>
      <c r="AM48" s="1140" t="s">
        <v>545</v>
      </c>
      <c r="AO48" s="407"/>
      <c r="AP48" s="407" t="str">
        <f t="shared" si="1"/>
        <v>Группа потребителей</v>
      </c>
      <c r="AQ48" s="407"/>
      <c r="AR48" s="407"/>
    </row>
    <row r="49" spans="1:44" ht="21" customHeight="1">
      <c r="A49" s="1240" t="s">
        <v>199</v>
      </c>
      <c r="B49" s="1240" t="s">
        <v>200</v>
      </c>
      <c r="C49" s="1240" t="s">
        <v>201</v>
      </c>
      <c r="D49" s="1240" t="s">
        <v>202</v>
      </c>
      <c r="E49" s="16125"/>
      <c r="F49" s="16125"/>
      <c r="G49" s="16125"/>
      <c r="H49" s="16125"/>
      <c r="I49" s="16145"/>
      <c r="J49" s="16145"/>
      <c r="K49" s="16122" t="str">
        <f>J48&amp;".1"</f>
        <v>....1.1</v>
      </c>
      <c r="L49" s="1241" t="s">
        <v>546</v>
      </c>
      <c r="P49" s="16123"/>
      <c r="Q49" s="16123"/>
      <c r="R49" s="273">
        <v>1</v>
      </c>
      <c r="S49" s="1214" t="str">
        <f>$K49</f>
        <v>....1.1</v>
      </c>
      <c r="T49" s="1225"/>
      <c r="U49" s="217"/>
      <c r="V49" s="649"/>
      <c r="W49" s="242"/>
      <c r="X49" s="649"/>
      <c r="Y49" s="1139"/>
      <c r="Z49" s="16127"/>
      <c r="AA49" s="15973" t="s">
        <v>66</v>
      </c>
      <c r="AB49" s="16127"/>
      <c r="AC49" s="15973" t="s">
        <v>66</v>
      </c>
      <c r="AD49" s="649"/>
      <c r="AE49" s="242"/>
      <c r="AF49" s="649"/>
      <c r="AG49" s="1139"/>
      <c r="AH49" s="16127"/>
      <c r="AI49" s="15973" t="s">
        <v>66</v>
      </c>
      <c r="AJ49" s="16146"/>
      <c r="AK49" s="15973" t="s">
        <v>66</v>
      </c>
      <c r="AL49" s="1226"/>
      <c r="AM49" s="16119" t="s">
        <v>585</v>
      </c>
      <c r="AN49" s="418" t="e">
        <f ca="1">STRCHECKDATE(V50:AL50)</f>
        <v>#NAME?</v>
      </c>
      <c r="AO49" s="407"/>
      <c r="AP49" s="407" t="str">
        <f t="shared" si="1"/>
        <v/>
      </c>
      <c r="AQ49" s="407"/>
      <c r="AR49" s="407"/>
    </row>
    <row r="50" spans="1:44" ht="0.75" customHeight="1">
      <c r="A50" s="1240" t="s">
        <v>199</v>
      </c>
      <c r="B50" s="1240" t="s">
        <v>200</v>
      </c>
      <c r="C50" s="1240" t="s">
        <v>201</v>
      </c>
      <c r="D50" s="1240" t="s">
        <v>202</v>
      </c>
      <c r="E50" s="16125"/>
      <c r="F50" s="16125"/>
      <c r="G50" s="16125"/>
      <c r="H50" s="16125"/>
      <c r="I50" s="16145"/>
      <c r="J50" s="16145"/>
      <c r="K50" s="16122"/>
      <c r="L50" s="1241"/>
      <c r="P50" s="16123"/>
      <c r="Q50" s="16123"/>
      <c r="R50" s="273"/>
      <c r="S50" s="1220"/>
      <c r="T50" s="217"/>
      <c r="U50" s="217"/>
      <c r="V50" s="242"/>
      <c r="W50" s="242"/>
      <c r="X50" s="242"/>
      <c r="Y50" s="245" t="str">
        <f>Z49&amp;"-"&amp;AB49</f>
        <v>-</v>
      </c>
      <c r="Z50" s="16128"/>
      <c r="AA50" s="15973"/>
      <c r="AB50" s="16128"/>
      <c r="AC50" s="15973"/>
      <c r="AD50" s="242"/>
      <c r="AE50" s="242"/>
      <c r="AF50" s="242"/>
      <c r="AG50" s="245" t="str">
        <f>AH49&amp;"-"&amp;AJ49</f>
        <v>-</v>
      </c>
      <c r="AH50" s="16128"/>
      <c r="AI50" s="15973"/>
      <c r="AJ50" s="16147"/>
      <c r="AK50" s="15973"/>
      <c r="AL50" s="1227"/>
      <c r="AM50" s="16120"/>
      <c r="AO50" s="407"/>
      <c r="AP50" s="407" t="str">
        <f t="shared" si="1"/>
        <v/>
      </c>
      <c r="AQ50" s="407"/>
      <c r="AR50" s="407"/>
    </row>
    <row r="51" spans="1:44" ht="11.25" customHeight="1">
      <c r="A51" s="1240" t="s">
        <v>199</v>
      </c>
      <c r="B51" s="1240" t="s">
        <v>200</v>
      </c>
      <c r="C51" s="1240" t="s">
        <v>201</v>
      </c>
      <c r="D51" s="1240" t="s">
        <v>202</v>
      </c>
      <c r="E51" s="16125"/>
      <c r="F51" s="16125"/>
      <c r="G51" s="16125"/>
      <c r="H51" s="16125"/>
      <c r="I51" s="16145"/>
      <c r="J51" s="16122"/>
      <c r="K51" s="1240"/>
      <c r="L51" s="1241"/>
      <c r="P51" s="16123"/>
      <c r="Q51" s="16123"/>
      <c r="R51" s="272"/>
      <c r="S51" s="1160"/>
      <c r="T51" s="204" t="s">
        <v>548</v>
      </c>
      <c r="U51" s="282"/>
      <c r="V51" s="282"/>
      <c r="W51" s="282"/>
      <c r="X51" s="282"/>
      <c r="Y51" s="282"/>
      <c r="Z51" s="282"/>
      <c r="AA51" s="282"/>
      <c r="AB51" s="282"/>
      <c r="AC51" s="282"/>
      <c r="AD51" s="282"/>
      <c r="AE51" s="282"/>
      <c r="AF51" s="282"/>
      <c r="AG51" s="282"/>
      <c r="AH51" s="282"/>
      <c r="AI51" s="282"/>
      <c r="AJ51" s="282"/>
      <c r="AK51" s="282"/>
      <c r="AL51" s="241"/>
      <c r="AM51" s="16121"/>
      <c r="AO51" s="407"/>
      <c r="AP51" s="407" t="str">
        <f t="shared" si="1"/>
        <v>Добавить вид теплоносителя (параметры теплоносителя)</v>
      </c>
      <c r="AQ51" s="407"/>
      <c r="AR51" s="407"/>
    </row>
    <row r="52" spans="1:44" ht="11.25" customHeight="1">
      <c r="A52" s="1240" t="s">
        <v>199</v>
      </c>
      <c r="B52" s="1240" t="s">
        <v>200</v>
      </c>
      <c r="C52" s="1240" t="s">
        <v>201</v>
      </c>
      <c r="D52" s="1240" t="s">
        <v>202</v>
      </c>
      <c r="E52" s="16125"/>
      <c r="F52" s="16125"/>
      <c r="G52" s="16125"/>
      <c r="H52" s="16125"/>
      <c r="I52" s="16122"/>
      <c r="J52" s="1240"/>
      <c r="K52" s="1240"/>
      <c r="L52" s="1241"/>
      <c r="P52" s="16123"/>
      <c r="Q52" s="1209"/>
      <c r="R52" s="272"/>
      <c r="S52" s="1160"/>
      <c r="T52" s="280" t="s">
        <v>549</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0" t="s">
        <v>199</v>
      </c>
      <c r="B53" s="1240" t="s">
        <v>200</v>
      </c>
      <c r="C53" s="1240" t="s">
        <v>201</v>
      </c>
      <c r="D53" s="1240" t="s">
        <v>202</v>
      </c>
      <c r="E53" s="16125"/>
      <c r="F53" s="16125"/>
      <c r="G53" s="16125"/>
      <c r="H53" s="16124"/>
      <c r="I53" s="1240"/>
      <c r="J53" s="1240"/>
      <c r="K53" s="1240"/>
      <c r="L53" s="1241"/>
      <c r="M53" s="1242"/>
      <c r="N53" s="1242"/>
      <c r="O53" s="443"/>
      <c r="P53" s="276"/>
      <c r="Q53" s="290"/>
      <c r="R53" s="271"/>
      <c r="S53" s="1263"/>
      <c r="T53" s="1264"/>
      <c r="U53" s="1265"/>
      <c r="V53" s="1265"/>
      <c r="W53" s="1265"/>
      <c r="X53" s="1265"/>
      <c r="Y53" s="1265"/>
      <c r="Z53" s="1265"/>
      <c r="AA53" s="1265"/>
      <c r="AB53" s="1265"/>
      <c r="AC53" s="1265"/>
      <c r="AD53" s="1265"/>
      <c r="AE53" s="1265"/>
      <c r="AF53" s="1265"/>
      <c r="AG53" s="1265"/>
      <c r="AH53" s="1265"/>
      <c r="AI53" s="1265"/>
      <c r="AJ53" s="1265"/>
      <c r="AK53" s="1265"/>
      <c r="AL53" s="1265"/>
      <c r="AM53" s="1266"/>
      <c r="AO53" s="407"/>
      <c r="AP53" s="407" t="str">
        <f t="shared" si="1"/>
        <v/>
      </c>
      <c r="AQ53" s="407"/>
      <c r="AR53" s="407"/>
    </row>
    <row r="54" spans="1:44" s="14418" customFormat="1" ht="0.75" customHeight="1">
      <c r="A54" s="1221" t="s">
        <v>199</v>
      </c>
      <c r="B54" s="1221" t="s">
        <v>200</v>
      </c>
      <c r="C54" s="1221" t="s">
        <v>201</v>
      </c>
      <c r="D54" s="1193"/>
      <c r="E54" s="16125"/>
      <c r="F54" s="16125"/>
      <c r="G54" s="16124"/>
      <c r="H54" s="1193"/>
      <c r="I54" s="1193"/>
      <c r="J54" s="1193"/>
      <c r="K54" s="1193"/>
      <c r="L54" s="1217"/>
      <c r="M54" s="1194"/>
      <c r="N54" s="1194"/>
      <c r="P54" s="1195"/>
      <c r="Q54" s="1196"/>
      <c r="R54" s="1195"/>
      <c r="S54" s="1201"/>
      <c r="T54" s="1204" t="s">
        <v>551</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4418" customFormat="1" ht="0.75" customHeight="1">
      <c r="A55" s="1221" t="s">
        <v>199</v>
      </c>
      <c r="B55" s="1221" t="s">
        <v>200</v>
      </c>
      <c r="C55" s="1193"/>
      <c r="D55" s="1193"/>
      <c r="E55" s="16125"/>
      <c r="F55" s="16124"/>
      <c r="G55" s="1193"/>
      <c r="H55" s="1193"/>
      <c r="I55" s="1193"/>
      <c r="J55" s="1193"/>
      <c r="K55" s="1193"/>
      <c r="L55" s="1217"/>
      <c r="M55" s="1200"/>
      <c r="N55" s="1200"/>
      <c r="P55" s="1195"/>
      <c r="Q55" s="1196"/>
      <c r="R55" s="1195"/>
      <c r="S55" s="1201"/>
      <c r="T55" s="1204" t="s">
        <v>290</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4421" customFormat="1" ht="0.75" customHeight="1">
      <c r="A56" s="1221" t="s">
        <v>199</v>
      </c>
      <c r="B56" s="1221"/>
      <c r="C56" s="1221"/>
      <c r="D56" s="1221"/>
      <c r="E56" s="16124"/>
      <c r="F56" s="1221"/>
      <c r="G56" s="1221"/>
      <c r="H56" s="1221"/>
      <c r="I56" s="1221"/>
      <c r="J56" s="1221"/>
      <c r="K56" s="1221"/>
      <c r="L56" s="1224"/>
      <c r="M56" s="1200"/>
      <c r="N56" s="1200"/>
      <c r="O56" s="425"/>
      <c r="P56" s="295"/>
      <c r="Q56" s="1222"/>
      <c r="R56" s="295"/>
      <c r="S56" s="1201"/>
      <c r="T56" s="1204" t="s">
        <v>326</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4418"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390</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5"/>
      <c r="T59" s="16144"/>
      <c r="U59" s="16144"/>
      <c r="V59" s="16144"/>
      <c r="W59" s="16144"/>
      <c r="X59" s="16144"/>
      <c r="Y59" s="16144"/>
      <c r="Z59" s="16144"/>
      <c r="AA59" s="16144"/>
      <c r="AB59" s="16144"/>
      <c r="AC59" s="16144"/>
      <c r="AD59" s="16144"/>
      <c r="AE59" s="16144"/>
      <c r="AF59" s="16144"/>
      <c r="AG59" s="16144"/>
      <c r="AH59" s="16144"/>
      <c r="AI59" s="16144"/>
      <c r="AJ59" s="16144"/>
      <c r="AK59" s="16144"/>
      <c r="AL59" s="16144"/>
      <c r="AM59" s="16144"/>
    </row>
    <row r="60" spans="1:44" ht="27.75" customHeight="1">
      <c r="O60" s="443"/>
      <c r="T60" s="16144"/>
      <c r="U60" s="16144"/>
      <c r="V60" s="16144"/>
      <c r="W60" s="16144"/>
      <c r="X60" s="16144"/>
      <c r="Y60" s="16144"/>
      <c r="Z60" s="16144"/>
      <c r="AA60" s="16144"/>
      <c r="AB60" s="16144"/>
      <c r="AC60" s="16144"/>
      <c r="AD60" s="16144"/>
      <c r="AE60" s="16144"/>
      <c r="AF60" s="16144"/>
      <c r="AG60" s="16144"/>
      <c r="AH60" s="16144"/>
      <c r="AI60" s="16144"/>
      <c r="AJ60" s="16144"/>
      <c r="AK60" s="16144"/>
      <c r="AL60" s="16144"/>
      <c r="AM60" s="16144"/>
    </row>
    <row r="61" spans="1:44" ht="39.75" customHeight="1">
      <c r="O61" s="443"/>
      <c r="T61" s="16144"/>
      <c r="U61" s="16144"/>
      <c r="V61" s="16144"/>
      <c r="W61" s="16144"/>
      <c r="X61" s="16144"/>
      <c r="Y61" s="16144"/>
      <c r="Z61" s="16144"/>
      <c r="AA61" s="16144"/>
      <c r="AB61" s="16144"/>
      <c r="AC61" s="16144"/>
      <c r="AD61" s="16144"/>
      <c r="AE61" s="16144"/>
      <c r="AF61" s="16144"/>
      <c r="AG61" s="16144"/>
      <c r="AH61" s="16144"/>
      <c r="AI61" s="16144"/>
      <c r="AJ61" s="16144"/>
      <c r="AK61" s="16144"/>
      <c r="AL61" s="16144"/>
      <c r="AM61" s="16144"/>
    </row>
    <row r="62" spans="1:44" ht="14.25" customHeight="1">
      <c r="O62" s="443"/>
    </row>
    <row r="63" spans="1:44" ht="19.5" customHeight="1">
      <c r="O63" s="443"/>
      <c r="S63" s="1135"/>
      <c r="T63" s="16037"/>
      <c r="U63" s="16144"/>
      <c r="V63" s="16144"/>
      <c r="W63" s="16144"/>
      <c r="X63" s="16144"/>
      <c r="Y63" s="16144"/>
      <c r="Z63" s="16144"/>
      <c r="AA63" s="16144"/>
      <c r="AB63" s="16144"/>
      <c r="AC63" s="16144"/>
      <c r="AD63" s="16144"/>
      <c r="AE63" s="16144"/>
      <c r="AF63" s="16144"/>
      <c r="AG63" s="16144"/>
      <c r="AH63" s="16144"/>
      <c r="AI63" s="16144"/>
      <c r="AJ63" s="16144"/>
      <c r="AK63" s="16144"/>
      <c r="AL63" s="16144"/>
      <c r="AM63" s="16144"/>
    </row>
    <row r="64" spans="1:44" ht="27.75" customHeight="1">
      <c r="O64" s="443"/>
      <c r="T64" s="16144"/>
      <c r="U64" s="16144"/>
      <c r="V64" s="16144"/>
      <c r="W64" s="16144"/>
      <c r="X64" s="16144"/>
      <c r="Y64" s="16144"/>
      <c r="Z64" s="16144"/>
      <c r="AA64" s="16144"/>
      <c r="AB64" s="16144"/>
      <c r="AC64" s="16144"/>
      <c r="AD64" s="16144"/>
      <c r="AE64" s="16144"/>
      <c r="AF64" s="16144"/>
      <c r="AG64" s="16144"/>
      <c r="AH64" s="16144"/>
      <c r="AI64" s="16144"/>
      <c r="AJ64" s="16144"/>
      <c r="AK64" s="16144"/>
      <c r="AL64" s="16144"/>
      <c r="AM64" s="16144"/>
    </row>
    <row r="65" spans="20:39" ht="33.75" customHeight="1">
      <c r="T65" s="16144"/>
      <c r="U65" s="16144"/>
      <c r="V65" s="16144"/>
      <c r="W65" s="16144"/>
      <c r="X65" s="16144"/>
      <c r="Y65" s="16144"/>
      <c r="Z65" s="16144"/>
      <c r="AA65" s="16144"/>
      <c r="AB65" s="16144"/>
      <c r="AC65" s="16144"/>
      <c r="AD65" s="16144"/>
      <c r="AE65" s="16144"/>
      <c r="AF65" s="16144"/>
      <c r="AG65" s="16144"/>
      <c r="AH65" s="16144"/>
      <c r="AI65" s="16144"/>
      <c r="AJ65" s="16144"/>
      <c r="AK65" s="16144"/>
      <c r="AL65" s="16144"/>
      <c r="AM65" s="1614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2" style="14419" hidden="1" customWidth="1"/>
    <col min="10" max="10" width="9.85546875" style="14419" hidden="1" customWidth="1"/>
    <col min="11" max="11" width="11.42578125" style="14419" hidden="1" customWidth="1"/>
    <col min="12" max="12" width="19.140625" style="14422" hidden="1" customWidth="1"/>
    <col min="13" max="14" width="12.28515625" style="14423" hidden="1" customWidth="1"/>
    <col min="15" max="15" width="23.42578125" style="14423" hidden="1" customWidth="1"/>
    <col min="16" max="16" width="3.7109375" style="14428" hidden="1" customWidth="1"/>
    <col min="17" max="18" width="3.7109375" style="14425" customWidth="1"/>
    <col min="19" max="19" width="12.7109375" style="14426" customWidth="1"/>
    <col min="20" max="20" width="32" style="14427" customWidth="1"/>
    <col min="21" max="21" width="0.140625" style="14427" customWidth="1"/>
    <col min="22" max="22" width="24.7109375" style="14427" hidden="1" customWidth="1"/>
    <col min="23" max="23" width="0.140625" style="14427" hidden="1" customWidth="1"/>
    <col min="24" max="25" width="24.7109375" style="14427" hidden="1" customWidth="1"/>
    <col min="26" max="26" width="11.7109375" style="14427" hidden="1" customWidth="1"/>
    <col min="27" max="27" width="3.7109375" style="14427" hidden="1" customWidth="1"/>
    <col min="28" max="28" width="11.7109375" style="14427" hidden="1" customWidth="1"/>
    <col min="29" max="29" width="8.5703125" style="14427" hidden="1" customWidth="1"/>
    <col min="30" max="30" width="24.7109375" style="14427" customWidth="1"/>
    <col min="31" max="31" width="0.140625" style="14427" customWidth="1"/>
    <col min="32" max="33" width="24.7109375" style="14427" customWidth="1"/>
    <col min="34" max="34" width="11.7109375" style="14427" customWidth="1"/>
    <col min="35" max="35" width="3.7109375" style="14427" customWidth="1"/>
    <col min="36" max="36" width="11.7109375" style="14427" customWidth="1"/>
    <col min="37" max="37" width="8.5703125" style="14427" hidden="1" customWidth="1"/>
    <col min="38" max="38" width="4.7109375" style="14427" customWidth="1"/>
    <col min="39" max="39" width="115.7109375" style="14427" customWidth="1"/>
    <col min="40" max="41" width="10.5703125" style="14421"/>
    <col min="42" max="42" width="11.140625" style="14421" customWidth="1"/>
    <col min="43" max="44" width="10.5703125" style="14421"/>
  </cols>
  <sheetData>
    <row r="1" spans="1:44" ht="14.25" hidden="1" customHeight="1">
      <c r="A1" s="1732"/>
      <c r="Y1" s="244"/>
      <c r="Z1" s="244"/>
      <c r="AG1" s="244"/>
      <c r="AH1" s="244"/>
    </row>
    <row r="2" spans="1:44" ht="21" hidden="1" customHeight="1">
      <c r="A2" s="1240"/>
      <c r="B2" s="1240"/>
      <c r="C2" s="1240"/>
      <c r="D2" s="1240"/>
      <c r="E2" s="16124">
        <v>1</v>
      </c>
      <c r="F2" s="1240"/>
      <c r="G2" s="1240"/>
      <c r="H2" s="1240"/>
      <c r="I2" s="1240"/>
      <c r="J2" s="1240"/>
      <c r="K2" s="1240"/>
      <c r="L2" s="1241"/>
      <c r="M2" s="1242"/>
      <c r="N2" s="1242"/>
      <c r="O2" s="1242"/>
      <c r="P2" s="277"/>
      <c r="Q2" s="276"/>
      <c r="R2" s="271"/>
      <c r="S2" s="1214" t="e">
        <f>INDEX(PT_DIFFERENTIATION_NUM_NTAR,MATCH(A2,PT_DIFFERENTIATION_NTAR_ID,0))</f>
        <v>#N/A</v>
      </c>
      <c r="T2" s="215" t="s">
        <v>158</v>
      </c>
      <c r="U2" s="217"/>
      <c r="V2" s="16110"/>
      <c r="W2" s="16111"/>
      <c r="X2" s="16111"/>
      <c r="Y2" s="16111"/>
      <c r="Z2" s="16111"/>
      <c r="AA2" s="16111"/>
      <c r="AB2" s="16111"/>
      <c r="AC2" s="16112"/>
      <c r="AD2" s="16110" t="e">
        <f>INDEX(PT_DIFFERENTIATION_NTAR,MATCH(A2,PT_DIFFERENTIATION_NTAR_ID,0))</f>
        <v>#N/A</v>
      </c>
      <c r="AE2" s="16111"/>
      <c r="AF2" s="16111"/>
      <c r="AG2" s="16111"/>
      <c r="AH2" s="16111"/>
      <c r="AI2" s="16111"/>
      <c r="AJ2" s="16111"/>
      <c r="AK2" s="16111"/>
      <c r="AL2" s="16112"/>
      <c r="AM2" s="1140" t="s">
        <v>533</v>
      </c>
      <c r="AO2" s="407"/>
      <c r="AP2" s="407" t="str">
        <f t="shared" ref="AP2:AP15" si="0">IF(T2="","",T2)</f>
        <v>Наименование тарифа</v>
      </c>
      <c r="AQ2" s="407"/>
      <c r="AR2" s="407"/>
    </row>
    <row r="3" spans="1:44" ht="21" hidden="1" customHeight="1">
      <c r="A3" s="1240"/>
      <c r="B3" s="1240"/>
      <c r="C3" s="1240"/>
      <c r="D3" s="1240"/>
      <c r="E3" s="16125"/>
      <c r="F3" s="16124">
        <v>1</v>
      </c>
      <c r="G3" s="1240"/>
      <c r="H3" s="1240"/>
      <c r="I3" s="1240"/>
      <c r="J3" s="1240"/>
      <c r="K3" s="1240"/>
      <c r="L3" s="1241"/>
      <c r="M3" s="1242"/>
      <c r="N3" s="1242"/>
      <c r="O3" s="1242"/>
      <c r="P3" s="1210"/>
      <c r="Q3" s="268"/>
      <c r="R3" s="269"/>
      <c r="S3" s="1214" t="e">
        <f>INDEX(PT_DIFFERENTIATION_NUM_TER,MATCH(B3,PT_DIFFERENTIATION_TER_ID,0))</f>
        <v>#N/A</v>
      </c>
      <c r="T3" s="225" t="s">
        <v>534</v>
      </c>
      <c r="U3" s="217"/>
      <c r="V3" s="16110"/>
      <c r="W3" s="16111"/>
      <c r="X3" s="16111"/>
      <c r="Y3" s="16111"/>
      <c r="Z3" s="16111"/>
      <c r="AA3" s="16111"/>
      <c r="AB3" s="16111"/>
      <c r="AC3" s="16112"/>
      <c r="AD3" s="16110" t="e">
        <f>INDEX(PT_DIFFERENTIATION_TER,MATCH(B3,PT_DIFFERENTIATION_TER_ID,0))</f>
        <v>#N/A</v>
      </c>
      <c r="AE3" s="16111"/>
      <c r="AF3" s="16111"/>
      <c r="AG3" s="16111"/>
      <c r="AH3" s="16111"/>
      <c r="AI3" s="16111"/>
      <c r="AJ3" s="16111"/>
      <c r="AK3" s="16111"/>
      <c r="AL3" s="16112"/>
      <c r="AM3" s="1140" t="s">
        <v>535</v>
      </c>
      <c r="AO3" s="407"/>
      <c r="AP3" s="407" t="str">
        <f t="shared" si="0"/>
        <v>Территория действия тарифа</v>
      </c>
      <c r="AQ3" s="407"/>
      <c r="AR3" s="407"/>
    </row>
    <row r="4" spans="1:44" ht="23.25" hidden="1" customHeight="1">
      <c r="A4" s="1240"/>
      <c r="B4" s="1240"/>
      <c r="C4" s="1240"/>
      <c r="D4" s="1240"/>
      <c r="E4" s="16125"/>
      <c r="F4" s="16125"/>
      <c r="G4" s="16124">
        <v>1</v>
      </c>
      <c r="H4" s="1240"/>
      <c r="I4" s="1240"/>
      <c r="J4" s="1240"/>
      <c r="K4" s="1240"/>
      <c r="L4" s="1241"/>
      <c r="M4" s="1242"/>
      <c r="N4" s="1242"/>
      <c r="O4" s="1242"/>
      <c r="P4" s="270"/>
      <c r="Q4" s="268"/>
      <c r="R4" s="269"/>
      <c r="S4" s="1214" t="e">
        <f>INDEX(PT_DIFFERENTIATION_NUM_CS,MATCH(C4,PT_DIFFERENTIATION_CS_ID,0))</f>
        <v>#N/A</v>
      </c>
      <c r="T4" s="226" t="s">
        <v>536</v>
      </c>
      <c r="U4" s="217"/>
      <c r="V4" s="16110"/>
      <c r="W4" s="16111"/>
      <c r="X4" s="16111"/>
      <c r="Y4" s="16111"/>
      <c r="Z4" s="16111"/>
      <c r="AA4" s="16111"/>
      <c r="AB4" s="16111"/>
      <c r="AC4" s="16112"/>
      <c r="AD4" s="16110" t="e">
        <f>INDEX(PT_DIFFERENTIATION_CS,MATCH(C4,PT_DIFFERENTIATION_CS_ID,0))</f>
        <v>#N/A</v>
      </c>
      <c r="AE4" s="16111"/>
      <c r="AF4" s="16111"/>
      <c r="AG4" s="16111"/>
      <c r="AH4" s="16111"/>
      <c r="AI4" s="16111"/>
      <c r="AJ4" s="16111"/>
      <c r="AK4" s="16111"/>
      <c r="AL4" s="16112"/>
      <c r="AM4" s="1140" t="s">
        <v>537</v>
      </c>
      <c r="AO4" s="407"/>
      <c r="AP4" s="407" t="str">
        <f t="shared" si="0"/>
        <v xml:space="preserve">Наименование системы теплоснабжения </v>
      </c>
      <c r="AQ4" s="407"/>
      <c r="AR4" s="407"/>
    </row>
    <row r="5" spans="1:44" ht="21" hidden="1" customHeight="1">
      <c r="A5" s="1240"/>
      <c r="B5" s="1240"/>
      <c r="C5" s="1240"/>
      <c r="D5" s="1240"/>
      <c r="E5" s="16125"/>
      <c r="F5" s="16125"/>
      <c r="G5" s="16125"/>
      <c r="H5" s="16124">
        <v>1</v>
      </c>
      <c r="I5" s="1240"/>
      <c r="J5" s="1240"/>
      <c r="K5" s="1240"/>
      <c r="L5" s="1241"/>
      <c r="M5" s="1242"/>
      <c r="N5" s="1242"/>
      <c r="O5" s="1242"/>
      <c r="P5" s="270"/>
      <c r="Q5" s="268"/>
      <c r="R5" s="269"/>
      <c r="S5" s="1214" t="e">
        <f>INDEX(PT_DIFFERENTIATION_NUM_IST_TE,MATCH(D5,PT_DIFFERENTIATION_IST_TE_ID,0))</f>
        <v>#N/A</v>
      </c>
      <c r="T5" s="227" t="s">
        <v>538</v>
      </c>
      <c r="U5" s="217"/>
      <c r="V5" s="16110"/>
      <c r="W5" s="16111"/>
      <c r="X5" s="16111"/>
      <c r="Y5" s="16111"/>
      <c r="Z5" s="16111"/>
      <c r="AA5" s="16111"/>
      <c r="AB5" s="16111"/>
      <c r="AC5" s="16112"/>
      <c r="AD5" s="16110" t="e">
        <f>INDEX(PT_DIFFERENTIATION_IST_TE,MATCH(D5,PT_DIFFERENTIATION_IST_TE_ID,0))</f>
        <v>#N/A</v>
      </c>
      <c r="AE5" s="16111"/>
      <c r="AF5" s="16111"/>
      <c r="AG5" s="16111"/>
      <c r="AH5" s="16111"/>
      <c r="AI5" s="16111"/>
      <c r="AJ5" s="16111"/>
      <c r="AK5" s="16111"/>
      <c r="AL5" s="16112"/>
      <c r="AM5" s="1140" t="s">
        <v>539</v>
      </c>
      <c r="AO5" s="407"/>
      <c r="AP5" s="407" t="str">
        <f t="shared" si="0"/>
        <v xml:space="preserve">Источник тепловой энергии  </v>
      </c>
      <c r="AQ5" s="407"/>
      <c r="AR5" s="407"/>
    </row>
    <row r="6" spans="1:44" ht="14.25" hidden="1" customHeight="1">
      <c r="A6" s="1240"/>
      <c r="B6" s="1240"/>
      <c r="C6" s="1240"/>
      <c r="D6" s="1240"/>
      <c r="E6" s="16125"/>
      <c r="F6" s="16125"/>
      <c r="G6" s="16125"/>
      <c r="H6" s="16125"/>
      <c r="I6" s="16122" t="e">
        <f>S5&amp;".1"</f>
        <v>#N/A</v>
      </c>
      <c r="J6" s="1240"/>
      <c r="K6" s="1240"/>
      <c r="L6" s="1241" t="s">
        <v>540</v>
      </c>
      <c r="M6" s="443"/>
      <c r="P6" s="16123">
        <v>1</v>
      </c>
      <c r="Q6" s="1209"/>
      <c r="R6" s="272"/>
      <c r="S6" s="930"/>
      <c r="T6" s="1260"/>
      <c r="U6" s="1261"/>
      <c r="V6" s="16153"/>
      <c r="W6" s="16154"/>
      <c r="X6" s="16154"/>
      <c r="Y6" s="16154"/>
      <c r="Z6" s="16154"/>
      <c r="AA6" s="16154"/>
      <c r="AB6" s="16154"/>
      <c r="AC6" s="16155"/>
      <c r="AD6" s="16153"/>
      <c r="AE6" s="16154"/>
      <c r="AF6" s="16154"/>
      <c r="AG6" s="16154"/>
      <c r="AH6" s="16154"/>
      <c r="AI6" s="16154"/>
      <c r="AJ6" s="16154"/>
      <c r="AK6" s="16154"/>
      <c r="AL6" s="16155"/>
      <c r="AM6" s="1262"/>
      <c r="AO6" s="407"/>
      <c r="AP6" s="407" t="str">
        <f t="shared" si="0"/>
        <v/>
      </c>
      <c r="AQ6" s="407"/>
      <c r="AR6" s="407"/>
    </row>
    <row r="7" spans="1:44" ht="21" hidden="1" customHeight="1">
      <c r="A7" s="1240"/>
      <c r="B7" s="1240"/>
      <c r="C7" s="1240"/>
      <c r="D7" s="1240"/>
      <c r="E7" s="16125"/>
      <c r="F7" s="16125"/>
      <c r="G7" s="16125"/>
      <c r="H7" s="16125"/>
      <c r="I7" s="16145"/>
      <c r="J7" s="16122" t="e">
        <f>I6&amp;".1"</f>
        <v>#N/A</v>
      </c>
      <c r="K7" s="1240"/>
      <c r="L7" s="1241" t="s">
        <v>543</v>
      </c>
      <c r="M7" s="443"/>
      <c r="N7" s="1243"/>
      <c r="P7" s="16123"/>
      <c r="Q7" s="16123">
        <v>1</v>
      </c>
      <c r="R7" s="273"/>
      <c r="S7" s="1214" t="e">
        <f>$J7</f>
        <v>#N/A</v>
      </c>
      <c r="T7" s="203" t="s">
        <v>544</v>
      </c>
      <c r="U7" s="217"/>
      <c r="V7" s="16113"/>
      <c r="W7" s="16114"/>
      <c r="X7" s="16114"/>
      <c r="Y7" s="16114"/>
      <c r="Z7" s="16114"/>
      <c r="AA7" s="16114"/>
      <c r="AB7" s="16114"/>
      <c r="AC7" s="16115"/>
      <c r="AD7" s="16113"/>
      <c r="AE7" s="16114"/>
      <c r="AF7" s="16114"/>
      <c r="AG7" s="16114"/>
      <c r="AH7" s="16114"/>
      <c r="AI7" s="16114"/>
      <c r="AJ7" s="16114"/>
      <c r="AK7" s="16114"/>
      <c r="AL7" s="16115"/>
      <c r="AM7" s="1140" t="s">
        <v>545</v>
      </c>
      <c r="AO7" s="407"/>
      <c r="AP7" s="407" t="str">
        <f t="shared" si="0"/>
        <v>Группа потребителей</v>
      </c>
      <c r="AQ7" s="407"/>
      <c r="AR7" s="407"/>
    </row>
    <row r="8" spans="1:44" ht="21" hidden="1" customHeight="1">
      <c r="A8" s="1240"/>
      <c r="B8" s="1240"/>
      <c r="C8" s="1240"/>
      <c r="D8" s="1240"/>
      <c r="E8" s="16125"/>
      <c r="F8" s="16125"/>
      <c r="G8" s="16125"/>
      <c r="H8" s="16125"/>
      <c r="I8" s="16145"/>
      <c r="J8" s="16145"/>
      <c r="K8" s="16122" t="e">
        <f>J7&amp;".1"</f>
        <v>#N/A</v>
      </c>
      <c r="L8" s="1241" t="s">
        <v>546</v>
      </c>
      <c r="M8" s="443"/>
      <c r="N8" s="1243"/>
      <c r="O8" s="1243"/>
      <c r="P8" s="16123"/>
      <c r="Q8" s="16123"/>
      <c r="R8" s="273">
        <v>1</v>
      </c>
      <c r="S8" s="1214" t="e">
        <f>$K8</f>
        <v>#N/A</v>
      </c>
      <c r="T8" s="1225"/>
      <c r="U8" s="217"/>
      <c r="V8" s="649"/>
      <c r="W8" s="242"/>
      <c r="X8" s="649"/>
      <c r="Y8" s="1139"/>
      <c r="Z8" s="16127"/>
      <c r="AA8" s="15973" t="s">
        <v>66</v>
      </c>
      <c r="AB8" s="16127"/>
      <c r="AC8" s="15973" t="s">
        <v>66</v>
      </c>
      <c r="AD8" s="649"/>
      <c r="AE8" s="242"/>
      <c r="AF8" s="649"/>
      <c r="AG8" s="1139"/>
      <c r="AH8" s="16127"/>
      <c r="AI8" s="15973" t="s">
        <v>66</v>
      </c>
      <c r="AJ8" s="16127"/>
      <c r="AK8" s="15973" t="s">
        <v>66</v>
      </c>
      <c r="AL8" s="242"/>
      <c r="AM8" s="16119" t="s">
        <v>547</v>
      </c>
      <c r="AN8" s="418" t="e">
        <f ca="1">STRCHECKDATE(V9:AL9)</f>
        <v>#NAME?</v>
      </c>
      <c r="AO8" s="407"/>
      <c r="AP8" s="407" t="str">
        <f t="shared" si="0"/>
        <v/>
      </c>
      <c r="AQ8" s="407"/>
      <c r="AR8" s="407"/>
    </row>
    <row r="9" spans="1:44" ht="14.25" hidden="1" customHeight="1">
      <c r="A9" s="1240"/>
      <c r="B9" s="1240"/>
      <c r="C9" s="1240"/>
      <c r="D9" s="1240"/>
      <c r="E9" s="16125"/>
      <c r="F9" s="16125"/>
      <c r="G9" s="16125"/>
      <c r="H9" s="16125"/>
      <c r="I9" s="16145"/>
      <c r="J9" s="16145"/>
      <c r="K9" s="16122"/>
      <c r="L9" s="1241"/>
      <c r="M9" s="443"/>
      <c r="N9" s="1243"/>
      <c r="O9" s="1243"/>
      <c r="P9" s="16123"/>
      <c r="Q9" s="16123"/>
      <c r="R9" s="273"/>
      <c r="S9" s="1220"/>
      <c r="T9" s="217"/>
      <c r="U9" s="217"/>
      <c r="V9" s="242"/>
      <c r="W9" s="242"/>
      <c r="X9" s="242"/>
      <c r="Y9" s="245" t="str">
        <f>Z8&amp;"-"&amp;AB8</f>
        <v>-</v>
      </c>
      <c r="Z9" s="16128"/>
      <c r="AA9" s="15973"/>
      <c r="AB9" s="16128"/>
      <c r="AC9" s="15973"/>
      <c r="AD9" s="242"/>
      <c r="AE9" s="242"/>
      <c r="AF9" s="242"/>
      <c r="AG9" s="245" t="str">
        <f>AH8&amp;"-"&amp;AJ8</f>
        <v>-</v>
      </c>
      <c r="AH9" s="16128"/>
      <c r="AI9" s="15973"/>
      <c r="AJ9" s="16128"/>
      <c r="AK9" s="15973"/>
      <c r="AL9" s="242"/>
      <c r="AM9" s="16120"/>
      <c r="AO9" s="407"/>
      <c r="AP9" s="407" t="str">
        <f t="shared" si="0"/>
        <v/>
      </c>
      <c r="AQ9" s="407"/>
      <c r="AR9" s="407"/>
    </row>
    <row r="10" spans="1:44" ht="15" hidden="1" customHeight="1">
      <c r="A10" s="1240"/>
      <c r="B10" s="1240"/>
      <c r="C10" s="1240"/>
      <c r="D10" s="1240"/>
      <c r="E10" s="16125"/>
      <c r="F10" s="16125"/>
      <c r="G10" s="16125"/>
      <c r="H10" s="16125"/>
      <c r="I10" s="16145"/>
      <c r="J10" s="16122"/>
      <c r="K10" s="1240"/>
      <c r="L10" s="1241"/>
      <c r="M10" s="443"/>
      <c r="N10" s="1243"/>
      <c r="P10" s="16123"/>
      <c r="Q10" s="16123"/>
      <c r="R10" s="272"/>
      <c r="S10" s="1160"/>
      <c r="T10" s="204" t="s">
        <v>548</v>
      </c>
      <c r="U10" s="282"/>
      <c r="V10" s="282"/>
      <c r="W10" s="282"/>
      <c r="X10" s="282"/>
      <c r="Y10" s="282"/>
      <c r="Z10" s="282"/>
      <c r="AA10" s="282"/>
      <c r="AB10" s="282"/>
      <c r="AC10" s="282"/>
      <c r="AD10" s="282"/>
      <c r="AE10" s="282"/>
      <c r="AF10" s="282"/>
      <c r="AG10" s="282"/>
      <c r="AH10" s="282"/>
      <c r="AI10" s="282"/>
      <c r="AJ10" s="282"/>
      <c r="AK10" s="282"/>
      <c r="AL10" s="241"/>
      <c r="AM10" s="16121"/>
      <c r="AO10" s="407"/>
      <c r="AP10" s="407" t="str">
        <f t="shared" si="0"/>
        <v>Добавить вид теплоносителя (параметры теплоносителя)</v>
      </c>
      <c r="AQ10" s="407"/>
      <c r="AR10" s="407"/>
    </row>
    <row r="11" spans="1:44" ht="11.25" hidden="1" customHeight="1">
      <c r="A11" s="1240"/>
      <c r="B11" s="1240"/>
      <c r="C11" s="1240"/>
      <c r="D11" s="1240"/>
      <c r="E11" s="16125"/>
      <c r="F11" s="16125"/>
      <c r="G11" s="16125"/>
      <c r="H11" s="16125"/>
      <c r="I11" s="16122"/>
      <c r="J11" s="1240"/>
      <c r="K11" s="1240"/>
      <c r="L11" s="1241"/>
      <c r="M11" s="443"/>
      <c r="P11" s="16123"/>
      <c r="Q11" s="1209"/>
      <c r="R11" s="272"/>
      <c r="S11" s="1160"/>
      <c r="T11" s="280" t="s">
        <v>549</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16125"/>
      <c r="F12" s="16125"/>
      <c r="G12" s="16125"/>
      <c r="H12" s="16124"/>
      <c r="I12" s="1240"/>
      <c r="J12" s="1240"/>
      <c r="K12" s="1240"/>
      <c r="L12" s="1241"/>
      <c r="M12" s="1242"/>
      <c r="N12" s="1242"/>
      <c r="O12" s="443"/>
      <c r="P12" s="276"/>
      <c r="Q12" s="290"/>
      <c r="R12" s="271"/>
      <c r="S12" s="1263"/>
      <c r="T12" s="1264"/>
      <c r="U12" s="1265"/>
      <c r="V12" s="1265"/>
      <c r="W12" s="1265"/>
      <c r="X12" s="1265"/>
      <c r="Y12" s="1265"/>
      <c r="Z12" s="1265"/>
      <c r="AA12" s="1265"/>
      <c r="AB12" s="1265"/>
      <c r="AC12" s="1265"/>
      <c r="AD12" s="1265"/>
      <c r="AE12" s="1265"/>
      <c r="AF12" s="1265"/>
      <c r="AG12" s="1265"/>
      <c r="AH12" s="1265"/>
      <c r="AI12" s="1265"/>
      <c r="AJ12" s="1265"/>
      <c r="AK12" s="1265"/>
      <c r="AL12" s="1265"/>
      <c r="AM12" s="1266"/>
      <c r="AO12" s="407"/>
      <c r="AP12" s="407" t="str">
        <f t="shared" si="0"/>
        <v/>
      </c>
      <c r="AQ12" s="407"/>
      <c r="AR12" s="407"/>
    </row>
    <row r="13" spans="1:44" s="14418" customFormat="1" ht="14.25" hidden="1" customHeight="1">
      <c r="A13" s="1193"/>
      <c r="B13" s="1193"/>
      <c r="C13" s="1193"/>
      <c r="D13" s="1193"/>
      <c r="E13" s="16125"/>
      <c r="F13" s="16125"/>
      <c r="G13" s="16124"/>
      <c r="H13" s="1193"/>
      <c r="I13" s="1193"/>
      <c r="J13" s="1193"/>
      <c r="K13" s="1193"/>
      <c r="L13" s="1217"/>
      <c r="M13" s="1194"/>
      <c r="N13" s="1194"/>
      <c r="P13" s="1195"/>
      <c r="Q13" s="1196"/>
      <c r="R13" s="1195"/>
      <c r="S13" s="1197"/>
      <c r="T13" s="1198" t="s">
        <v>551</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4418" customFormat="1" ht="14.25" hidden="1" customHeight="1">
      <c r="A14" s="1193"/>
      <c r="B14" s="1193"/>
      <c r="C14" s="1193"/>
      <c r="D14" s="1193"/>
      <c r="E14" s="16125"/>
      <c r="F14" s="16124"/>
      <c r="G14" s="1193"/>
      <c r="H14" s="1193"/>
      <c r="I14" s="1193"/>
      <c r="J14" s="1193"/>
      <c r="K14" s="1193"/>
      <c r="L14" s="1217"/>
      <c r="M14" s="1200"/>
      <c r="N14" s="1200"/>
      <c r="P14" s="1195"/>
      <c r="Q14" s="1196"/>
      <c r="R14" s="1195"/>
      <c r="S14" s="1201"/>
      <c r="T14" s="1202" t="s">
        <v>290</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4418" customFormat="1" ht="14.25" hidden="1" customHeight="1">
      <c r="A15" s="1193"/>
      <c r="B15" s="1193"/>
      <c r="C15" s="1193"/>
      <c r="D15" s="1193"/>
      <c r="E15" s="16124"/>
      <c r="F15" s="1193"/>
      <c r="G15" s="1193"/>
      <c r="H15" s="1193"/>
      <c r="I15" s="1193"/>
      <c r="J15" s="1193"/>
      <c r="K15" s="1193"/>
      <c r="L15" s="1217"/>
      <c r="M15" s="1200"/>
      <c r="N15" s="1200"/>
      <c r="P15" s="1195"/>
      <c r="Q15" s="1196"/>
      <c r="R15" s="1195"/>
      <c r="S15" s="1201"/>
      <c r="T15" s="1204" t="s">
        <v>326</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16129"/>
      <c r="AI17" s="16130" t="s">
        <v>66</v>
      </c>
      <c r="AJ17" s="16129"/>
      <c r="AK17" s="16130" t="s">
        <v>66</v>
      </c>
    </row>
    <row r="18" spans="1:44" ht="14.25" hidden="1" customHeight="1">
      <c r="AD18" s="1237"/>
      <c r="AE18" s="1237"/>
      <c r="AF18" s="1237"/>
      <c r="AG18" s="245" t="str">
        <f>AH17&amp;"-"&amp;AJ17</f>
        <v>-</v>
      </c>
      <c r="AH18" s="16130"/>
      <c r="AI18" s="16130"/>
      <c r="AJ18" s="16130"/>
      <c r="AK18" s="16130"/>
    </row>
    <row r="19" spans="1:44" ht="14.25" hidden="1" customHeight="1">
      <c r="AK19" s="244"/>
    </row>
    <row r="20" spans="1:44" s="14419" customFormat="1" ht="22.5" hidden="1" customHeight="1">
      <c r="L20" s="1207"/>
      <c r="M20" s="1239"/>
      <c r="N20" s="1239"/>
      <c r="O20" s="1244" t="s">
        <v>552</v>
      </c>
      <c r="P20" s="1239"/>
      <c r="Q20" s="1248"/>
      <c r="R20" s="1248"/>
      <c r="S20" s="629"/>
      <c r="Z20" s="1244"/>
      <c r="AB20" s="1244"/>
      <c r="AC20" s="1243"/>
      <c r="AH20" s="1244"/>
      <c r="AJ20" s="1244"/>
      <c r="AK20" s="1243"/>
      <c r="AN20" s="418"/>
      <c r="AO20" s="418"/>
      <c r="AP20" s="418"/>
      <c r="AQ20" s="418"/>
      <c r="AR20" s="418"/>
    </row>
    <row r="21" spans="1:44" s="14419" customFormat="1" ht="14.25" hidden="1" customHeight="1">
      <c r="L21" s="1207"/>
      <c r="M21" s="1239"/>
      <c r="N21" s="1239"/>
      <c r="O21" s="1239"/>
      <c r="P21" s="1239"/>
      <c r="Q21" s="1248"/>
      <c r="R21" s="1248"/>
      <c r="S21" s="629"/>
      <c r="AC21" s="1243"/>
      <c r="AK21" s="1243"/>
      <c r="AN21" s="418"/>
      <c r="AO21" s="418"/>
      <c r="AP21" s="418"/>
      <c r="AQ21" s="418"/>
      <c r="AR21" s="418"/>
    </row>
    <row r="22" spans="1:44" s="14419" customFormat="1" ht="14.25" hidden="1" customHeight="1">
      <c r="L22" s="1207"/>
      <c r="M22" s="1239"/>
      <c r="N22" s="1239"/>
      <c r="O22" s="1241" t="s">
        <v>553</v>
      </c>
      <c r="P22" s="1239"/>
      <c r="Q22" s="1248"/>
      <c r="R22" s="1248"/>
      <c r="S22" s="629"/>
      <c r="T22" s="1041" t="s">
        <v>554</v>
      </c>
      <c r="AA22" s="108" t="s">
        <v>555</v>
      </c>
      <c r="AC22" s="108" t="s">
        <v>556</v>
      </c>
      <c r="AD22" s="1041" t="s">
        <v>554</v>
      </c>
      <c r="AI22" s="108" t="s">
        <v>557</v>
      </c>
      <c r="AK22" s="108" t="s">
        <v>556</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1606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6069"/>
      <c r="U26" s="16069"/>
      <c r="V26" s="16069"/>
      <c r="W26" s="16069"/>
      <c r="X26" s="16069"/>
      <c r="Y26" s="16069"/>
      <c r="Z26" s="16069"/>
      <c r="AA26" s="16069"/>
      <c r="AB26" s="16069"/>
      <c r="AC26" s="16069"/>
      <c r="AD26" s="16069"/>
      <c r="AE26" s="16069"/>
      <c r="AF26" s="16069"/>
      <c r="AG26" s="16069"/>
      <c r="AH26" s="16069"/>
      <c r="AI26" s="16069"/>
      <c r="AJ26" s="16069"/>
      <c r="AK26" s="1125"/>
    </row>
    <row r="27" spans="1:44" ht="14.25" customHeight="1">
      <c r="Q27" s="291"/>
      <c r="R27" s="291"/>
      <c r="S27" s="16056" t="str">
        <f>IF(org=0,"Не определено",org)</f>
        <v>АО "Мурманэнергосбыт"</v>
      </c>
      <c r="T27" s="16056"/>
      <c r="U27" s="16056"/>
      <c r="V27" s="16056"/>
      <c r="W27" s="16056"/>
      <c r="X27" s="16056"/>
      <c r="Y27" s="16056"/>
      <c r="Z27" s="16056"/>
      <c r="AA27" s="16056"/>
      <c r="AB27" s="16056"/>
      <c r="AC27" s="16056"/>
      <c r="AD27" s="16056"/>
      <c r="AE27" s="16056"/>
      <c r="AF27" s="16056"/>
      <c r="AG27" s="16056"/>
      <c r="AH27" s="16056"/>
      <c r="AI27" s="16056"/>
      <c r="AJ27" s="16056"/>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4420" customFormat="1" ht="25.5" customHeight="1">
      <c r="A29" s="1245"/>
      <c r="B29" s="1245"/>
      <c r="C29" s="1245"/>
      <c r="D29" s="1245"/>
      <c r="E29" s="1245"/>
      <c r="F29" s="1245"/>
      <c r="G29" s="1245"/>
      <c r="H29" s="1245"/>
      <c r="I29" s="1245"/>
      <c r="J29" s="1245"/>
      <c r="K29" s="1245"/>
      <c r="L29" s="1246"/>
      <c r="M29" s="1245"/>
      <c r="N29" s="1245"/>
      <c r="O29" s="1245"/>
      <c r="S29" s="16116" t="s">
        <v>38</v>
      </c>
      <c r="T29" s="16116"/>
      <c r="U29" s="1249"/>
      <c r="V29" s="16117" t="str">
        <f>IF(TITLE_NAME_OR_PR_CHANGE="",IF(TITLE_NAME_OR_PR="","",TITLE_NAME_OR_PR),TITLE_NAME_OR_PR_CHANGE)</f>
        <v>Комитет по тарифному регулированию Мурманской области</v>
      </c>
      <c r="W29" s="16117"/>
      <c r="X29" s="16117"/>
      <c r="Y29" s="16117"/>
      <c r="Z29" s="16117"/>
      <c r="AA29" s="16117"/>
      <c r="AB29" s="16117"/>
      <c r="AC29" s="243"/>
      <c r="AD29" s="16117" t="str">
        <f>IF(TITLE_NAME_OR_PR_CHANGE="",IF(TITLE_NAME_OR_PR="","",TITLE_NAME_OR_PR),TITLE_NAME_OR_PR_CHANGE)</f>
        <v>Комитет по тарифному регулированию Мурманской области</v>
      </c>
      <c r="AE29" s="16117"/>
      <c r="AF29" s="16117"/>
      <c r="AG29" s="16117"/>
      <c r="AH29" s="16117"/>
      <c r="AI29" s="16117"/>
      <c r="AJ29" s="16117"/>
      <c r="AK29" s="243"/>
      <c r="AL29" s="243"/>
      <c r="AM29" s="198"/>
      <c r="AN29" s="283"/>
      <c r="AO29" s="283"/>
      <c r="AP29" s="283"/>
      <c r="AQ29" s="283"/>
      <c r="AR29" s="283"/>
    </row>
    <row r="30" spans="1:44" s="14420" customFormat="1" ht="18.75" customHeight="1">
      <c r="A30" s="1245"/>
      <c r="B30" s="1245"/>
      <c r="C30" s="1245"/>
      <c r="D30" s="1245"/>
      <c r="E30" s="1245"/>
      <c r="F30" s="1245"/>
      <c r="G30" s="1245"/>
      <c r="H30" s="1245"/>
      <c r="I30" s="1245"/>
      <c r="J30" s="1245"/>
      <c r="K30" s="1245"/>
      <c r="L30" s="1246"/>
      <c r="M30" s="1245"/>
      <c r="N30" s="1245"/>
      <c r="O30" s="1245"/>
      <c r="S30" s="16116" t="s">
        <v>558</v>
      </c>
      <c r="T30" s="16116"/>
      <c r="U30" s="1249"/>
      <c r="V30" s="16126">
        <f>IF(TITLE_DATE_PR_CHANGE="",IF(TITLE_DATE_PR="","",TITLE_DATE_PR),TITLE_DATE_PR_CHANGE)</f>
        <v>45379</v>
      </c>
      <c r="W30" s="16126"/>
      <c r="X30" s="16126"/>
      <c r="Y30" s="16126"/>
      <c r="Z30" s="16126"/>
      <c r="AA30" s="16126"/>
      <c r="AB30" s="16126"/>
      <c r="AC30" s="243"/>
      <c r="AD30" s="16126">
        <f>IF(TITLE_DATE_PR_CHANGE="",IF(TITLE_DATE_PR="","",TITLE_DATE_PR),TITLE_DATE_PR_CHANGE)</f>
        <v>45379</v>
      </c>
      <c r="AE30" s="16126"/>
      <c r="AF30" s="16126"/>
      <c r="AG30" s="16126"/>
      <c r="AH30" s="16126"/>
      <c r="AI30" s="16126"/>
      <c r="AJ30" s="16126"/>
      <c r="AK30" s="243"/>
      <c r="AL30" s="243"/>
      <c r="AM30" s="198"/>
      <c r="AN30" s="283"/>
      <c r="AO30" s="283"/>
      <c r="AP30" s="283"/>
      <c r="AQ30" s="283"/>
      <c r="AR30" s="283"/>
    </row>
    <row r="31" spans="1:44" s="14420" customFormat="1" ht="18.75" customHeight="1">
      <c r="A31" s="1245"/>
      <c r="B31" s="1245"/>
      <c r="C31" s="1245"/>
      <c r="D31" s="1245"/>
      <c r="E31" s="1245"/>
      <c r="F31" s="1245"/>
      <c r="G31" s="1245"/>
      <c r="H31" s="1245"/>
      <c r="I31" s="1245"/>
      <c r="J31" s="1245"/>
      <c r="K31" s="1245"/>
      <c r="L31" s="1246"/>
      <c r="M31" s="1245"/>
      <c r="N31" s="1245"/>
      <c r="O31" s="1245"/>
      <c r="S31" s="16116" t="s">
        <v>559</v>
      </c>
      <c r="T31" s="16116"/>
      <c r="U31" s="1249"/>
      <c r="V31" s="16117" t="str">
        <f>IF(TITLE_NUMBER_PR_CHANGE="",IF(TITLE_NUMBER_PR="","",TITLE_NUMBER_PR),TITLE_NUMBER_PR_CHANGE)</f>
        <v>8/6</v>
      </c>
      <c r="W31" s="16117"/>
      <c r="X31" s="16117"/>
      <c r="Y31" s="16117"/>
      <c r="Z31" s="16117"/>
      <c r="AA31" s="16117"/>
      <c r="AB31" s="16117"/>
      <c r="AC31" s="243"/>
      <c r="AD31" s="16117" t="str">
        <f>IF(TITLE_NUMBER_PR_CHANGE="",IF(TITLE_NUMBER_PR="","",TITLE_NUMBER_PR),TITLE_NUMBER_PR_CHANGE)</f>
        <v>8/6</v>
      </c>
      <c r="AE31" s="16117"/>
      <c r="AF31" s="16117"/>
      <c r="AG31" s="16117"/>
      <c r="AH31" s="16117"/>
      <c r="AI31" s="16117"/>
      <c r="AJ31" s="16117"/>
      <c r="AK31" s="243"/>
      <c r="AL31" s="243"/>
      <c r="AM31" s="198"/>
      <c r="AN31" s="283"/>
      <c r="AO31" s="283"/>
      <c r="AP31" s="283"/>
      <c r="AQ31" s="283"/>
      <c r="AR31" s="283"/>
    </row>
    <row r="32" spans="1:44" s="14420" customFormat="1" ht="18.75" customHeight="1">
      <c r="A32" s="1245"/>
      <c r="B32" s="1245"/>
      <c r="C32" s="1245"/>
      <c r="D32" s="1245"/>
      <c r="E32" s="1245"/>
      <c r="F32" s="1245"/>
      <c r="G32" s="1245"/>
      <c r="H32" s="1245"/>
      <c r="I32" s="1245"/>
      <c r="J32" s="1245"/>
      <c r="K32" s="1245"/>
      <c r="L32" s="1246"/>
      <c r="M32" s="1245"/>
      <c r="N32" s="1245"/>
      <c r="O32" s="1245"/>
      <c r="S32" s="16116" t="s">
        <v>40</v>
      </c>
      <c r="T32" s="16116"/>
      <c r="U32" s="1249"/>
      <c r="V32" s="16117" t="str">
        <f>IF(TITLE_IST_PUB_CHANGE="",IF(TITLE_IST_PUB="","",TITLE_IST_PUB),TITLE_IST_PUB_CHANGE)</f>
        <v>https://npa.gov-murman.ru/bitrix/components/b1team/govmurman.element.file/download.php?ID=518761&amp;FID=765125</v>
      </c>
      <c r="W32" s="16117"/>
      <c r="X32" s="16117"/>
      <c r="Y32" s="16117"/>
      <c r="Z32" s="16117"/>
      <c r="AA32" s="16117"/>
      <c r="AB32" s="16117"/>
      <c r="AC32" s="243"/>
      <c r="AD32" s="16117" t="str">
        <f>IF(TITLE_IST_PUB_CHANGE="",IF(TITLE_IST_PUB="","",TITLE_IST_PUB),TITLE_IST_PUB_CHANGE)</f>
        <v>https://npa.gov-murman.ru/bitrix/components/b1team/govmurman.element.file/download.php?ID=518761&amp;FID=765125</v>
      </c>
      <c r="AE32" s="16117"/>
      <c r="AF32" s="16117"/>
      <c r="AG32" s="16117"/>
      <c r="AH32" s="16117"/>
      <c r="AI32" s="16117"/>
      <c r="AJ32" s="16117"/>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4420" customFormat="1" ht="18.75" hidden="1" customHeight="1">
      <c r="A34" s="1245"/>
      <c r="B34" s="1245"/>
      <c r="C34" s="1245"/>
      <c r="D34" s="1245"/>
      <c r="E34" s="1245"/>
      <c r="F34" s="1245"/>
      <c r="G34" s="1245"/>
      <c r="H34" s="1245"/>
      <c r="I34" s="1245"/>
      <c r="J34" s="1245"/>
      <c r="K34" s="1245"/>
      <c r="L34" s="1246"/>
      <c r="M34" s="1245"/>
      <c r="N34" s="1245"/>
      <c r="O34" s="1245"/>
      <c r="S34" s="16116" t="s">
        <v>560</v>
      </c>
      <c r="T34" s="16116"/>
      <c r="U34" s="1249"/>
      <c r="V34" s="16126">
        <f>IF(TITLE_DATE_PR_CHANGE="",IF(TITLE_DATE_PR="","",TITLE_DATE_PR),TITLE_DATE_PR_CHANGE)</f>
        <v>45379</v>
      </c>
      <c r="W34" s="16126"/>
      <c r="X34" s="16126"/>
      <c r="Y34" s="16126"/>
      <c r="Z34" s="16126"/>
      <c r="AA34" s="16126"/>
      <c r="AB34" s="16126"/>
      <c r="AC34" s="243"/>
      <c r="AD34" s="16126">
        <f>IF(TITLE_DATE_PR_CHANGE="",IF(TITLE_DATE_PR="","",TITLE_DATE_PR),TITLE_DATE_PR_CHANGE)</f>
        <v>45379</v>
      </c>
      <c r="AE34" s="16126"/>
      <c r="AF34" s="16126"/>
      <c r="AG34" s="16126"/>
      <c r="AH34" s="16126"/>
      <c r="AI34" s="16126"/>
      <c r="AJ34" s="16126"/>
      <c r="AK34" s="243"/>
      <c r="AL34" s="243"/>
      <c r="AM34" s="198"/>
      <c r="AN34" s="283"/>
      <c r="AO34" s="283"/>
      <c r="AP34" s="283"/>
      <c r="AQ34" s="283"/>
      <c r="AR34" s="283"/>
    </row>
    <row r="35" spans="1:44" s="14420" customFormat="1" ht="18.75" hidden="1" customHeight="1">
      <c r="A35" s="1245"/>
      <c r="B35" s="1245"/>
      <c r="C35" s="1245"/>
      <c r="D35" s="1245"/>
      <c r="E35" s="1245"/>
      <c r="F35" s="1245"/>
      <c r="G35" s="1245"/>
      <c r="H35" s="1245"/>
      <c r="I35" s="1245"/>
      <c r="J35" s="1245"/>
      <c r="K35" s="1245"/>
      <c r="L35" s="1246"/>
      <c r="M35" s="1245"/>
      <c r="N35" s="1245"/>
      <c r="O35" s="1245"/>
      <c r="S35" s="16116" t="s">
        <v>561</v>
      </c>
      <c r="T35" s="16116"/>
      <c r="U35" s="1249"/>
      <c r="V35" s="16117" t="str">
        <f>IF(TITLE_NUMBER_PR_CHANGE="",IF(TITLE_NUMBER_PR="","",TITLE_NUMBER_PR),TITLE_NUMBER_PR_CHANGE)</f>
        <v>8/6</v>
      </c>
      <c r="W35" s="16117"/>
      <c r="X35" s="16117"/>
      <c r="Y35" s="16117"/>
      <c r="Z35" s="16117"/>
      <c r="AA35" s="16117"/>
      <c r="AB35" s="16117"/>
      <c r="AC35" s="243"/>
      <c r="AD35" s="16117" t="str">
        <f>IF(TITLE_NUMBER_PR_CHANGE="",IF(TITLE_NUMBER_PR="","",TITLE_NUMBER_PR),TITLE_NUMBER_PR_CHANGE)</f>
        <v>8/6</v>
      </c>
      <c r="AE35" s="16117"/>
      <c r="AF35" s="16117"/>
      <c r="AG35" s="16117"/>
      <c r="AH35" s="16117"/>
      <c r="AI35" s="16117"/>
      <c r="AJ35" s="16117"/>
      <c r="AK35" s="243"/>
      <c r="AL35" s="243"/>
      <c r="AM35" s="198"/>
      <c r="AN35" s="283"/>
      <c r="AO35" s="283"/>
      <c r="AP35" s="283"/>
      <c r="AQ35" s="283"/>
      <c r="AR35" s="283"/>
    </row>
    <row r="36" spans="1:44" s="14420"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562</v>
      </c>
      <c r="AD36" s="243"/>
      <c r="AE36" s="243"/>
      <c r="AF36" s="243"/>
      <c r="AG36" s="243"/>
      <c r="AH36" s="243"/>
      <c r="AI36" s="243"/>
      <c r="AJ36" s="243"/>
      <c r="AK36" s="196" t="s">
        <v>562</v>
      </c>
      <c r="AN36" s="283"/>
      <c r="AO36" s="283"/>
      <c r="AP36" s="283"/>
      <c r="AQ36" s="283"/>
      <c r="AR36" s="283"/>
    </row>
    <row r="37" spans="1:44" ht="14.25" customHeight="1">
      <c r="Q37" s="291"/>
      <c r="R37" s="291"/>
      <c r="S37" s="1157"/>
      <c r="T37" s="279"/>
      <c r="U37" s="1126"/>
      <c r="V37" s="16118"/>
      <c r="W37" s="16118"/>
      <c r="X37" s="16118"/>
      <c r="Y37" s="16118"/>
      <c r="Z37" s="16118"/>
      <c r="AA37" s="16118"/>
      <c r="AB37" s="16118"/>
      <c r="AC37" s="16118"/>
      <c r="AD37" s="16118"/>
      <c r="AE37" s="16118"/>
      <c r="AF37" s="16118"/>
      <c r="AG37" s="16118"/>
      <c r="AH37" s="16118"/>
      <c r="AI37" s="16118"/>
      <c r="AJ37" s="16118"/>
      <c r="AK37" s="16118"/>
    </row>
    <row r="38" spans="1:44" ht="14.25" customHeight="1">
      <c r="Q38" s="291"/>
      <c r="R38" s="291"/>
      <c r="S38" s="15992" t="s">
        <v>437</v>
      </c>
      <c r="T38" s="15992"/>
      <c r="U38" s="15992"/>
      <c r="V38" s="15992"/>
      <c r="W38" s="15992"/>
      <c r="X38" s="15992"/>
      <c r="Y38" s="15992"/>
      <c r="Z38" s="15992"/>
      <c r="AA38" s="15992"/>
      <c r="AB38" s="15992"/>
      <c r="AC38" s="15992"/>
      <c r="AD38" s="15992"/>
      <c r="AE38" s="15992"/>
      <c r="AF38" s="15992"/>
      <c r="AG38" s="15992"/>
      <c r="AH38" s="15992"/>
      <c r="AI38" s="15992"/>
      <c r="AJ38" s="15992"/>
      <c r="AK38" s="15992"/>
      <c r="AL38" s="15992"/>
      <c r="AM38" s="15992" t="s">
        <v>438</v>
      </c>
    </row>
    <row r="39" spans="1:44" ht="14.25" customHeight="1">
      <c r="Q39" s="291"/>
      <c r="R39" s="291"/>
      <c r="S39" s="16132" t="s">
        <v>87</v>
      </c>
      <c r="T39" s="16084" t="s">
        <v>563</v>
      </c>
      <c r="U39" s="218"/>
      <c r="V39" s="16133" t="s">
        <v>564</v>
      </c>
      <c r="W39" s="16134"/>
      <c r="X39" s="16134"/>
      <c r="Y39" s="16134"/>
      <c r="Z39" s="16134"/>
      <c r="AA39" s="16134"/>
      <c r="AB39" s="16135"/>
      <c r="AC39" s="16136" t="s">
        <v>565</v>
      </c>
      <c r="AD39" s="16133" t="s">
        <v>564</v>
      </c>
      <c r="AE39" s="16134"/>
      <c r="AF39" s="16134"/>
      <c r="AG39" s="16134"/>
      <c r="AH39" s="16134"/>
      <c r="AI39" s="16134"/>
      <c r="AJ39" s="16135"/>
      <c r="AK39" s="16136" t="s">
        <v>566</v>
      </c>
      <c r="AL39" s="16139" t="s">
        <v>567</v>
      </c>
      <c r="AM39" s="15992"/>
    </row>
    <row r="40" spans="1:44" ht="33.75" customHeight="1">
      <c r="Q40" s="291"/>
      <c r="R40" s="291"/>
      <c r="S40" s="16132"/>
      <c r="T40" s="16084"/>
      <c r="U40" s="919"/>
      <c r="V40" s="16055" t="s">
        <v>568</v>
      </c>
      <c r="W40" s="16142"/>
      <c r="X40" s="15963" t="s">
        <v>570</v>
      </c>
      <c r="Y40" s="15962"/>
      <c r="Z40" s="15963" t="s">
        <v>571</v>
      </c>
      <c r="AA40" s="15968"/>
      <c r="AB40" s="15962"/>
      <c r="AC40" s="16137"/>
      <c r="AD40" s="16055" t="s">
        <v>584</v>
      </c>
      <c r="AE40" s="16142"/>
      <c r="AF40" s="15963" t="s">
        <v>570</v>
      </c>
      <c r="AG40" s="15962"/>
      <c r="AH40" s="15963" t="s">
        <v>571</v>
      </c>
      <c r="AI40" s="15968"/>
      <c r="AJ40" s="15962"/>
      <c r="AK40" s="16137"/>
      <c r="AL40" s="16140"/>
      <c r="AM40" s="15992"/>
    </row>
    <row r="41" spans="1:44" ht="33.75" customHeight="1">
      <c r="A41" s="1247"/>
      <c r="B41" s="1247" t="s">
        <v>170</v>
      </c>
      <c r="C41" s="1247" t="s">
        <v>171</v>
      </c>
      <c r="D41" s="1247" t="s">
        <v>172</v>
      </c>
      <c r="E41" s="1241" t="s">
        <v>572</v>
      </c>
      <c r="F41" s="1241" t="s">
        <v>573</v>
      </c>
      <c r="G41" s="1241" t="s">
        <v>574</v>
      </c>
      <c r="H41" s="1241" t="s">
        <v>575</v>
      </c>
      <c r="I41" s="1241" t="s">
        <v>576</v>
      </c>
      <c r="J41" s="1241" t="s">
        <v>577</v>
      </c>
      <c r="K41" s="1241" t="s">
        <v>578</v>
      </c>
      <c r="L41" s="1241" t="s">
        <v>553</v>
      </c>
      <c r="Q41" s="291"/>
      <c r="R41" s="291"/>
      <c r="S41" s="16132"/>
      <c r="T41" s="16084"/>
      <c r="U41" s="219"/>
      <c r="V41" s="16103"/>
      <c r="W41" s="16143"/>
      <c r="X41" s="1104" t="s">
        <v>579</v>
      </c>
      <c r="Y41" s="1104" t="s">
        <v>580</v>
      </c>
      <c r="Z41" s="1216" t="s">
        <v>581</v>
      </c>
      <c r="AA41" s="16092" t="s">
        <v>582</v>
      </c>
      <c r="AB41" s="16094"/>
      <c r="AC41" s="16138"/>
      <c r="AD41" s="16103"/>
      <c r="AE41" s="16143"/>
      <c r="AF41" s="1104" t="s">
        <v>579</v>
      </c>
      <c r="AG41" s="1104" t="s">
        <v>580</v>
      </c>
      <c r="AH41" s="1216" t="s">
        <v>581</v>
      </c>
      <c r="AI41" s="16092" t="s">
        <v>582</v>
      </c>
      <c r="AJ41" s="16094"/>
      <c r="AK41" s="16138"/>
      <c r="AL41" s="16141"/>
      <c r="AM41" s="15992"/>
    </row>
    <row r="42" spans="1:44" s="14405"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147</v>
      </c>
      <c r="T42" s="1137" t="s">
        <v>102</v>
      </c>
      <c r="U42" s="1127" t="str">
        <f ca="1">OFFSET(U42,0,-1)</f>
        <v>2</v>
      </c>
      <c r="V42" s="1213">
        <f ca="1">OFFSET(V42,0,-1)+1</f>
        <v>3</v>
      </c>
      <c r="W42" s="1213"/>
      <c r="X42" s="1213">
        <f ca="1">OFFSET(X42,0,-1)+1</f>
        <v>1</v>
      </c>
      <c r="Y42" s="1213">
        <f ca="1">OFFSET(Y42,0,-1)+1</f>
        <v>2</v>
      </c>
      <c r="Z42" s="1213">
        <f ca="1">OFFSET(Z42,0,-1)+1</f>
        <v>3</v>
      </c>
      <c r="AA42" s="16131">
        <f ca="1">OFFSET(AA42,0,-1)+1</f>
        <v>4</v>
      </c>
      <c r="AB42" s="16131"/>
      <c r="AC42" s="1213">
        <f ca="1">OFFSET(AC42,0,-2)+1</f>
        <v>5</v>
      </c>
      <c r="AD42" s="1213">
        <f ca="1">OFFSET(AD42,0,-1)+1</f>
        <v>6</v>
      </c>
      <c r="AE42" s="1213"/>
      <c r="AF42" s="1213">
        <f ca="1">OFFSET(AF42,0,-1)+1</f>
        <v>1</v>
      </c>
      <c r="AG42" s="1213">
        <f ca="1">OFFSET(AG42,0,-1)+1</f>
        <v>2</v>
      </c>
      <c r="AH42" s="1213">
        <f ca="1">OFFSET(AH42,0,-1)+1</f>
        <v>3</v>
      </c>
      <c r="AI42" s="16131">
        <f ca="1">OFFSET(AI42,0,-1)+1</f>
        <v>4</v>
      </c>
      <c r="AJ42" s="16131"/>
      <c r="AK42" s="1213">
        <f ca="1">OFFSET(AK42,0,-2)+1</f>
        <v>5</v>
      </c>
      <c r="AL42" s="1127">
        <f ca="1">OFFSET(AL42,0,-1)</f>
        <v>5</v>
      </c>
      <c r="AM42" s="1213">
        <f ca="1">OFFSET(AM42,0,-1)+1</f>
        <v>6</v>
      </c>
      <c r="AN42" s="418"/>
      <c r="AO42" s="418"/>
      <c r="AP42" s="418"/>
      <c r="AQ42" s="418"/>
      <c r="AR42" s="418"/>
    </row>
    <row r="43" spans="1:44" ht="21" customHeight="1">
      <c r="A43" s="1240" t="s">
        <v>211</v>
      </c>
      <c r="B43" s="1240"/>
      <c r="C43" s="1240"/>
      <c r="D43" s="1240"/>
      <c r="E43" s="16124">
        <v>1</v>
      </c>
      <c r="F43" s="1240"/>
      <c r="G43" s="1240"/>
      <c r="H43" s="1240"/>
      <c r="I43" s="1240"/>
      <c r="J43" s="1240"/>
      <c r="K43" s="1240"/>
      <c r="L43" s="1241"/>
      <c r="M43" s="1242"/>
      <c r="N43" s="1242"/>
      <c r="O43" s="1242"/>
      <c r="P43" s="277"/>
      <c r="Q43" s="276"/>
      <c r="R43" s="271"/>
      <c r="S43" s="1214">
        <f>INDEX(PT_DIFFERENTIATION_NUM_NTAR,MATCH(A43,PT_DIFFERENTIATION_NTAR_ID,0))</f>
        <v>0</v>
      </c>
      <c r="T43" s="215" t="s">
        <v>158</v>
      </c>
      <c r="U43" s="217"/>
      <c r="V43" s="16110"/>
      <c r="W43" s="16111"/>
      <c r="X43" s="16111"/>
      <c r="Y43" s="16111"/>
      <c r="Z43" s="16111"/>
      <c r="AA43" s="16111"/>
      <c r="AB43" s="16111"/>
      <c r="AC43" s="16112"/>
      <c r="AD43" s="16110" t="str">
        <f>INDEX(PT_DIFFERENTIATION_NTAR,MATCH(A43,PT_DIFFERENTIATION_NTAR_ID,0))</f>
        <v/>
      </c>
      <c r="AE43" s="16111"/>
      <c r="AF43" s="16111"/>
      <c r="AG43" s="16111"/>
      <c r="AH43" s="16111"/>
      <c r="AI43" s="16111"/>
      <c r="AJ43" s="16111"/>
      <c r="AK43" s="16111"/>
      <c r="AL43" s="16112"/>
      <c r="AM43" s="11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211</v>
      </c>
      <c r="B44" s="1240" t="s">
        <v>212</v>
      </c>
      <c r="C44" s="1240"/>
      <c r="D44" s="1240"/>
      <c r="E44" s="16125"/>
      <c r="F44" s="16124">
        <v>1</v>
      </c>
      <c r="G44" s="1240"/>
      <c r="H44" s="1240"/>
      <c r="I44" s="1240"/>
      <c r="J44" s="1240"/>
      <c r="K44" s="1240"/>
      <c r="L44" s="1241"/>
      <c r="M44" s="1242"/>
      <c r="N44" s="1242"/>
      <c r="O44" s="1242"/>
      <c r="P44" s="1210"/>
      <c r="Q44" s="268"/>
      <c r="R44" s="269"/>
      <c r="S44" s="1214" t="str">
        <f>INDEX(PT_DIFFERENTIATION_NUM_TER,MATCH(B44,PT_DIFFERENTIATION_TER_ID,0))</f>
        <v>.</v>
      </c>
      <c r="T44" s="225" t="s">
        <v>534</v>
      </c>
      <c r="U44" s="217"/>
      <c r="V44" s="16110"/>
      <c r="W44" s="16111"/>
      <c r="X44" s="16111"/>
      <c r="Y44" s="16111"/>
      <c r="Z44" s="16111"/>
      <c r="AA44" s="16111"/>
      <c r="AB44" s="16111"/>
      <c r="AC44" s="16112"/>
      <c r="AD44" s="16110" t="str">
        <f>INDEX(PT_DIFFERENTIATION_TER,MATCH(B44,PT_DIFFERENTIATION_TER_ID,0))</f>
        <v/>
      </c>
      <c r="AE44" s="16111"/>
      <c r="AF44" s="16111"/>
      <c r="AG44" s="16111"/>
      <c r="AH44" s="16111"/>
      <c r="AI44" s="16111"/>
      <c r="AJ44" s="16111"/>
      <c r="AK44" s="16111"/>
      <c r="AL44" s="16112"/>
      <c r="AM44" s="1140" t="s">
        <v>535</v>
      </c>
      <c r="AO44" s="407"/>
      <c r="AP44" s="407" t="str">
        <f t="shared" si="1"/>
        <v>Территория действия тарифа</v>
      </c>
      <c r="AQ44" s="407"/>
      <c r="AR44" s="407"/>
    </row>
    <row r="45" spans="1:44" ht="23.25" customHeight="1">
      <c r="A45" s="1240" t="s">
        <v>211</v>
      </c>
      <c r="B45" s="1240" t="s">
        <v>212</v>
      </c>
      <c r="C45" s="1240" t="s">
        <v>213</v>
      </c>
      <c r="D45" s="1240"/>
      <c r="E45" s="16125"/>
      <c r="F45" s="16125"/>
      <c r="G45" s="16124">
        <v>1</v>
      </c>
      <c r="H45" s="1240"/>
      <c r="I45" s="1240"/>
      <c r="J45" s="1240"/>
      <c r="K45" s="1240"/>
      <c r="L45" s="1241"/>
      <c r="M45" s="1242"/>
      <c r="N45" s="1242"/>
      <c r="O45" s="1242"/>
      <c r="P45" s="270"/>
      <c r="Q45" s="268"/>
      <c r="R45" s="269"/>
      <c r="S45" s="1214" t="str">
        <f>INDEX(PT_DIFFERENTIATION_NUM_CS,MATCH(C45,PT_DIFFERENTIATION_CS_ID,0))</f>
        <v>..</v>
      </c>
      <c r="T45" s="226" t="s">
        <v>536</v>
      </c>
      <c r="U45" s="217"/>
      <c r="V45" s="16110"/>
      <c r="W45" s="16111"/>
      <c r="X45" s="16111"/>
      <c r="Y45" s="16111"/>
      <c r="Z45" s="16111"/>
      <c r="AA45" s="16111"/>
      <c r="AB45" s="16111"/>
      <c r="AC45" s="16112"/>
      <c r="AD45" s="16110" t="str">
        <f>INDEX(PT_DIFFERENTIATION_CS,MATCH(C45,PT_DIFFERENTIATION_CS_ID,0))</f>
        <v/>
      </c>
      <c r="AE45" s="16111"/>
      <c r="AF45" s="16111"/>
      <c r="AG45" s="16111"/>
      <c r="AH45" s="16111"/>
      <c r="AI45" s="16111"/>
      <c r="AJ45" s="16111"/>
      <c r="AK45" s="16111"/>
      <c r="AL45" s="16112"/>
      <c r="AM45" s="1140" t="s">
        <v>537</v>
      </c>
      <c r="AO45" s="407"/>
      <c r="AP45" s="407" t="str">
        <f t="shared" si="1"/>
        <v xml:space="preserve">Наименование системы теплоснабжения </v>
      </c>
      <c r="AQ45" s="407"/>
      <c r="AR45" s="407"/>
    </row>
    <row r="46" spans="1:44" ht="21" customHeight="1">
      <c r="A46" s="1240" t="s">
        <v>211</v>
      </c>
      <c r="B46" s="1240" t="s">
        <v>212</v>
      </c>
      <c r="C46" s="1240" t="s">
        <v>213</v>
      </c>
      <c r="D46" s="1240" t="s">
        <v>214</v>
      </c>
      <c r="E46" s="16125"/>
      <c r="F46" s="16125"/>
      <c r="G46" s="16125"/>
      <c r="H46" s="16124">
        <v>1</v>
      </c>
      <c r="I46" s="1240"/>
      <c r="J46" s="1240"/>
      <c r="K46" s="1240"/>
      <c r="L46" s="1241"/>
      <c r="M46" s="1242"/>
      <c r="N46" s="1242"/>
      <c r="O46" s="1242"/>
      <c r="P46" s="270"/>
      <c r="Q46" s="268"/>
      <c r="R46" s="269"/>
      <c r="S46" s="1214" t="str">
        <f>INDEX(PT_DIFFERENTIATION_NUM_IST_TE,MATCH(D46,PT_DIFFERENTIATION_IST_TE_ID,0))</f>
        <v>...</v>
      </c>
      <c r="T46" s="227" t="s">
        <v>538</v>
      </c>
      <c r="U46" s="217"/>
      <c r="V46" s="16110"/>
      <c r="W46" s="16111"/>
      <c r="X46" s="16111"/>
      <c r="Y46" s="16111"/>
      <c r="Z46" s="16111"/>
      <c r="AA46" s="16111"/>
      <c r="AB46" s="16111"/>
      <c r="AC46" s="16112"/>
      <c r="AD46" s="16110" t="str">
        <f>INDEX(PT_DIFFERENTIATION_IST_TE,MATCH(D46,PT_DIFFERENTIATION_IST_TE_ID,0))</f>
        <v/>
      </c>
      <c r="AE46" s="16111"/>
      <c r="AF46" s="16111"/>
      <c r="AG46" s="16111"/>
      <c r="AH46" s="16111"/>
      <c r="AI46" s="16111"/>
      <c r="AJ46" s="16111"/>
      <c r="AK46" s="16111"/>
      <c r="AL46" s="16112"/>
      <c r="AM46" s="1140" t="s">
        <v>539</v>
      </c>
      <c r="AO46" s="407"/>
      <c r="AP46" s="407" t="str">
        <f t="shared" si="1"/>
        <v xml:space="preserve">Источник тепловой энергии  </v>
      </c>
      <c r="AQ46" s="407"/>
      <c r="AR46" s="407"/>
    </row>
    <row r="47" spans="1:44" s="14421" customFormat="1" ht="0" hidden="1" customHeight="1">
      <c r="A47" s="1221" t="s">
        <v>211</v>
      </c>
      <c r="B47" s="1221" t="s">
        <v>212</v>
      </c>
      <c r="C47" s="1221" t="s">
        <v>213</v>
      </c>
      <c r="D47" s="1221" t="s">
        <v>214</v>
      </c>
      <c r="E47" s="16125"/>
      <c r="F47" s="16125"/>
      <c r="G47" s="16125"/>
      <c r="H47" s="16125"/>
      <c r="I47" s="16122" t="str">
        <f>S46&amp;".1"</f>
        <v>....1</v>
      </c>
      <c r="J47" s="1221"/>
      <c r="K47" s="1221"/>
      <c r="L47" s="1224" t="s">
        <v>540</v>
      </c>
      <c r="M47" s="417"/>
      <c r="N47" s="417"/>
      <c r="O47" s="417"/>
      <c r="P47" s="16123">
        <v>1</v>
      </c>
      <c r="Q47" s="1209"/>
      <c r="R47" s="272"/>
      <c r="S47" s="930"/>
      <c r="T47" s="1260"/>
      <c r="U47" s="1261"/>
      <c r="V47" s="16153"/>
      <c r="W47" s="16154"/>
      <c r="X47" s="16154"/>
      <c r="Y47" s="16154"/>
      <c r="Z47" s="16154"/>
      <c r="AA47" s="16154"/>
      <c r="AB47" s="16154"/>
      <c r="AC47" s="16155"/>
      <c r="AD47" s="16153"/>
      <c r="AE47" s="16154"/>
      <c r="AF47" s="16154"/>
      <c r="AG47" s="16154"/>
      <c r="AH47" s="16154"/>
      <c r="AI47" s="16154"/>
      <c r="AJ47" s="16154"/>
      <c r="AK47" s="16154"/>
      <c r="AL47" s="16155"/>
      <c r="AM47" s="1262"/>
      <c r="AO47" s="407"/>
      <c r="AP47" s="407" t="str">
        <f t="shared" si="1"/>
        <v/>
      </c>
      <c r="AQ47" s="407"/>
      <c r="AR47" s="407"/>
    </row>
    <row r="48" spans="1:44" ht="21" customHeight="1">
      <c r="A48" s="1240" t="s">
        <v>211</v>
      </c>
      <c r="B48" s="1240" t="s">
        <v>212</v>
      </c>
      <c r="C48" s="1240" t="s">
        <v>213</v>
      </c>
      <c r="D48" s="1240" t="s">
        <v>214</v>
      </c>
      <c r="E48" s="16125"/>
      <c r="F48" s="16125"/>
      <c r="G48" s="16125"/>
      <c r="H48" s="16125"/>
      <c r="I48" s="16145"/>
      <c r="J48" s="16122" t="str">
        <f>S46&amp;".1"</f>
        <v>....1</v>
      </c>
      <c r="K48" s="1240"/>
      <c r="L48" s="1241" t="s">
        <v>543</v>
      </c>
      <c r="P48" s="16123"/>
      <c r="Q48" s="16123">
        <v>1</v>
      </c>
      <c r="R48" s="273"/>
      <c r="S48" s="1214" t="str">
        <f>$J48</f>
        <v>....1</v>
      </c>
      <c r="T48" s="203" t="s">
        <v>544</v>
      </c>
      <c r="U48" s="217"/>
      <c r="V48" s="16113"/>
      <c r="W48" s="16114"/>
      <c r="X48" s="16114"/>
      <c r="Y48" s="16114"/>
      <c r="Z48" s="16114"/>
      <c r="AA48" s="16114"/>
      <c r="AB48" s="16114"/>
      <c r="AC48" s="16115"/>
      <c r="AD48" s="16113"/>
      <c r="AE48" s="16114"/>
      <c r="AF48" s="16114"/>
      <c r="AG48" s="16114"/>
      <c r="AH48" s="16114"/>
      <c r="AI48" s="16114"/>
      <c r="AJ48" s="16114"/>
      <c r="AK48" s="16114"/>
      <c r="AL48" s="16115"/>
      <c r="AM48" s="1140" t="s">
        <v>545</v>
      </c>
      <c r="AO48" s="407"/>
      <c r="AP48" s="407" t="str">
        <f t="shared" si="1"/>
        <v>Группа потребителей</v>
      </c>
      <c r="AQ48" s="407"/>
      <c r="AR48" s="407"/>
    </row>
    <row r="49" spans="1:44" ht="21" customHeight="1">
      <c r="A49" s="1240" t="s">
        <v>211</v>
      </c>
      <c r="B49" s="1240" t="s">
        <v>212</v>
      </c>
      <c r="C49" s="1240" t="s">
        <v>213</v>
      </c>
      <c r="D49" s="1240" t="s">
        <v>214</v>
      </c>
      <c r="E49" s="16125"/>
      <c r="F49" s="16125"/>
      <c r="G49" s="16125"/>
      <c r="H49" s="16125"/>
      <c r="I49" s="16145"/>
      <c r="J49" s="16145"/>
      <c r="K49" s="16122" t="str">
        <f>J48&amp;".1"</f>
        <v>....1.1</v>
      </c>
      <c r="L49" s="1241" t="s">
        <v>546</v>
      </c>
      <c r="P49" s="16123"/>
      <c r="Q49" s="16123"/>
      <c r="R49" s="273">
        <v>1</v>
      </c>
      <c r="S49" s="1214" t="str">
        <f>$K49</f>
        <v>....1.1</v>
      </c>
      <c r="T49" s="1225"/>
      <c r="U49" s="217"/>
      <c r="V49" s="649"/>
      <c r="W49" s="242"/>
      <c r="X49" s="649"/>
      <c r="Y49" s="1139"/>
      <c r="Z49" s="16127"/>
      <c r="AA49" s="15973" t="s">
        <v>66</v>
      </c>
      <c r="AB49" s="16127"/>
      <c r="AC49" s="15973" t="s">
        <v>66</v>
      </c>
      <c r="AD49" s="649"/>
      <c r="AE49" s="242"/>
      <c r="AF49" s="649"/>
      <c r="AG49" s="1139"/>
      <c r="AH49" s="16127"/>
      <c r="AI49" s="15973" t="s">
        <v>66</v>
      </c>
      <c r="AJ49" s="16146"/>
      <c r="AK49" s="15973" t="s">
        <v>66</v>
      </c>
      <c r="AL49" s="1226"/>
      <c r="AM49" s="16119" t="s">
        <v>585</v>
      </c>
      <c r="AN49" s="418" t="e">
        <f ca="1">STRCHECKDATE(V50:AL50)</f>
        <v>#NAME?</v>
      </c>
      <c r="AO49" s="407"/>
      <c r="AP49" s="407" t="str">
        <f t="shared" si="1"/>
        <v/>
      </c>
      <c r="AQ49" s="407"/>
      <c r="AR49" s="407"/>
    </row>
    <row r="50" spans="1:44" ht="0.75" customHeight="1">
      <c r="A50" s="1240" t="s">
        <v>211</v>
      </c>
      <c r="B50" s="1240" t="s">
        <v>212</v>
      </c>
      <c r="C50" s="1240" t="s">
        <v>213</v>
      </c>
      <c r="D50" s="1240" t="s">
        <v>214</v>
      </c>
      <c r="E50" s="16125"/>
      <c r="F50" s="16125"/>
      <c r="G50" s="16125"/>
      <c r="H50" s="16125"/>
      <c r="I50" s="16145"/>
      <c r="J50" s="16145"/>
      <c r="K50" s="16122"/>
      <c r="L50" s="1241"/>
      <c r="P50" s="16123"/>
      <c r="Q50" s="16123"/>
      <c r="R50" s="273"/>
      <c r="S50" s="1220"/>
      <c r="T50" s="217"/>
      <c r="U50" s="217"/>
      <c r="V50" s="242"/>
      <c r="W50" s="242"/>
      <c r="X50" s="242"/>
      <c r="Y50" s="245" t="str">
        <f>Z49&amp;"-"&amp;AB49</f>
        <v>-</v>
      </c>
      <c r="Z50" s="16128"/>
      <c r="AA50" s="15973"/>
      <c r="AB50" s="16128"/>
      <c r="AC50" s="15973"/>
      <c r="AD50" s="242"/>
      <c r="AE50" s="242"/>
      <c r="AF50" s="242"/>
      <c r="AG50" s="245" t="str">
        <f>AH49&amp;"-"&amp;AJ49</f>
        <v>-</v>
      </c>
      <c r="AH50" s="16128"/>
      <c r="AI50" s="15973"/>
      <c r="AJ50" s="16147"/>
      <c r="AK50" s="15973"/>
      <c r="AL50" s="1227"/>
      <c r="AM50" s="16120"/>
      <c r="AO50" s="407"/>
      <c r="AP50" s="407" t="str">
        <f t="shared" si="1"/>
        <v/>
      </c>
      <c r="AQ50" s="407"/>
      <c r="AR50" s="407"/>
    </row>
    <row r="51" spans="1:44" ht="11.25" customHeight="1">
      <c r="A51" s="1240" t="s">
        <v>211</v>
      </c>
      <c r="B51" s="1240" t="s">
        <v>212</v>
      </c>
      <c r="C51" s="1240" t="s">
        <v>213</v>
      </c>
      <c r="D51" s="1240" t="s">
        <v>214</v>
      </c>
      <c r="E51" s="16125"/>
      <c r="F51" s="16125"/>
      <c r="G51" s="16125"/>
      <c r="H51" s="16125"/>
      <c r="I51" s="16145"/>
      <c r="J51" s="16122"/>
      <c r="K51" s="1240"/>
      <c r="L51" s="1241"/>
      <c r="P51" s="16123"/>
      <c r="Q51" s="16123"/>
      <c r="R51" s="272"/>
      <c r="S51" s="1160"/>
      <c r="T51" s="204" t="s">
        <v>548</v>
      </c>
      <c r="U51" s="282"/>
      <c r="V51" s="282"/>
      <c r="W51" s="282"/>
      <c r="X51" s="282"/>
      <c r="Y51" s="282"/>
      <c r="Z51" s="282"/>
      <c r="AA51" s="282"/>
      <c r="AB51" s="282"/>
      <c r="AC51" s="282"/>
      <c r="AD51" s="282"/>
      <c r="AE51" s="282"/>
      <c r="AF51" s="282"/>
      <c r="AG51" s="282"/>
      <c r="AH51" s="282"/>
      <c r="AI51" s="282"/>
      <c r="AJ51" s="282"/>
      <c r="AK51" s="282"/>
      <c r="AL51" s="241"/>
      <c r="AM51" s="16121"/>
      <c r="AO51" s="407"/>
      <c r="AP51" s="407" t="str">
        <f t="shared" si="1"/>
        <v>Добавить вид теплоносителя (параметры теплоносителя)</v>
      </c>
      <c r="AQ51" s="407"/>
      <c r="AR51" s="407"/>
    </row>
    <row r="52" spans="1:44" ht="11.25" customHeight="1">
      <c r="A52" s="1240" t="s">
        <v>211</v>
      </c>
      <c r="B52" s="1240" t="s">
        <v>212</v>
      </c>
      <c r="C52" s="1240" t="s">
        <v>213</v>
      </c>
      <c r="D52" s="1240" t="s">
        <v>214</v>
      </c>
      <c r="E52" s="16125"/>
      <c r="F52" s="16125"/>
      <c r="G52" s="16125"/>
      <c r="H52" s="16125"/>
      <c r="I52" s="16122"/>
      <c r="J52" s="1240"/>
      <c r="K52" s="1240"/>
      <c r="L52" s="1241"/>
      <c r="P52" s="16123"/>
      <c r="Q52" s="1209"/>
      <c r="R52" s="272"/>
      <c r="S52" s="1160"/>
      <c r="T52" s="280" t="s">
        <v>549</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0" t="s">
        <v>211</v>
      </c>
      <c r="B53" s="1240" t="s">
        <v>212</v>
      </c>
      <c r="C53" s="1240" t="s">
        <v>213</v>
      </c>
      <c r="D53" s="1240" t="s">
        <v>214</v>
      </c>
      <c r="E53" s="16125"/>
      <c r="F53" s="16125"/>
      <c r="G53" s="16125"/>
      <c r="H53" s="16124"/>
      <c r="I53" s="1240"/>
      <c r="J53" s="1240"/>
      <c r="K53" s="1240"/>
      <c r="L53" s="1241"/>
      <c r="M53" s="1242"/>
      <c r="N53" s="1242"/>
      <c r="O53" s="443"/>
      <c r="P53" s="276"/>
      <c r="Q53" s="290"/>
      <c r="R53" s="271"/>
      <c r="S53" s="1263"/>
      <c r="T53" s="1264"/>
      <c r="U53" s="1265"/>
      <c r="V53" s="1265"/>
      <c r="W53" s="1265"/>
      <c r="X53" s="1265"/>
      <c r="Y53" s="1265"/>
      <c r="Z53" s="1265"/>
      <c r="AA53" s="1265"/>
      <c r="AB53" s="1265"/>
      <c r="AC53" s="1265"/>
      <c r="AD53" s="1265"/>
      <c r="AE53" s="1265"/>
      <c r="AF53" s="1265"/>
      <c r="AG53" s="1265"/>
      <c r="AH53" s="1265"/>
      <c r="AI53" s="1265"/>
      <c r="AJ53" s="1265"/>
      <c r="AK53" s="1265"/>
      <c r="AL53" s="1265"/>
      <c r="AM53" s="1266"/>
      <c r="AO53" s="407"/>
      <c r="AP53" s="407" t="str">
        <f t="shared" si="1"/>
        <v/>
      </c>
      <c r="AQ53" s="407"/>
      <c r="AR53" s="407"/>
    </row>
    <row r="54" spans="1:44" s="14418" customFormat="1" ht="0.75" customHeight="1">
      <c r="A54" s="1221" t="s">
        <v>211</v>
      </c>
      <c r="B54" s="1221" t="s">
        <v>212</v>
      </c>
      <c r="C54" s="1221" t="s">
        <v>213</v>
      </c>
      <c r="D54" s="1193"/>
      <c r="E54" s="16125"/>
      <c r="F54" s="16125"/>
      <c r="G54" s="16124"/>
      <c r="H54" s="1193"/>
      <c r="I54" s="1193"/>
      <c r="J54" s="1193"/>
      <c r="K54" s="1193"/>
      <c r="L54" s="1217"/>
      <c r="M54" s="1194"/>
      <c r="N54" s="1194"/>
      <c r="P54" s="1195"/>
      <c r="Q54" s="1196"/>
      <c r="R54" s="1195"/>
      <c r="S54" s="1201"/>
      <c r="T54" s="1204" t="s">
        <v>551</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4418" customFormat="1" ht="0.75" customHeight="1">
      <c r="A55" s="1221" t="s">
        <v>211</v>
      </c>
      <c r="B55" s="1221" t="s">
        <v>212</v>
      </c>
      <c r="C55" s="1193"/>
      <c r="D55" s="1193"/>
      <c r="E55" s="16125"/>
      <c r="F55" s="16124"/>
      <c r="G55" s="1193"/>
      <c r="H55" s="1193"/>
      <c r="I55" s="1193"/>
      <c r="J55" s="1193"/>
      <c r="K55" s="1193"/>
      <c r="L55" s="1217"/>
      <c r="M55" s="1200"/>
      <c r="N55" s="1200"/>
      <c r="P55" s="1195"/>
      <c r="Q55" s="1196"/>
      <c r="R55" s="1195"/>
      <c r="S55" s="1201"/>
      <c r="T55" s="1204" t="s">
        <v>290</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4421" customFormat="1" ht="0.75" customHeight="1">
      <c r="A56" s="1221" t="s">
        <v>211</v>
      </c>
      <c r="B56" s="1221"/>
      <c r="C56" s="1221"/>
      <c r="D56" s="1221"/>
      <c r="E56" s="16124"/>
      <c r="F56" s="1221"/>
      <c r="G56" s="1221"/>
      <c r="H56" s="1221"/>
      <c r="I56" s="1221"/>
      <c r="J56" s="1221"/>
      <c r="K56" s="1221"/>
      <c r="L56" s="1224"/>
      <c r="M56" s="1200"/>
      <c r="N56" s="1200"/>
      <c r="O56" s="425"/>
      <c r="P56" s="295"/>
      <c r="Q56" s="1222"/>
      <c r="R56" s="295"/>
      <c r="S56" s="1201"/>
      <c r="T56" s="1204" t="s">
        <v>326</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4418" customFormat="1" ht="0.75" customHeight="1">
      <c r="A57" s="1193"/>
      <c r="B57" s="1193"/>
      <c r="C57" s="1193"/>
      <c r="D57" s="1193"/>
      <c r="E57" s="1221"/>
      <c r="F57" s="1193"/>
      <c r="G57" s="1193"/>
      <c r="H57" s="1193"/>
      <c r="I57" s="1193"/>
      <c r="J57" s="1193"/>
      <c r="K57" s="1193"/>
      <c r="L57" s="1217"/>
      <c r="M57" s="1200"/>
      <c r="N57" s="1200"/>
      <c r="P57" s="1195"/>
      <c r="Q57" s="1196"/>
      <c r="R57" s="1195"/>
      <c r="S57" s="1201"/>
      <c r="T57" s="1204" t="s">
        <v>390</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5"/>
      <c r="T59" s="16144"/>
      <c r="U59" s="16144"/>
      <c r="V59" s="16144"/>
      <c r="W59" s="16144"/>
      <c r="X59" s="16144"/>
      <c r="Y59" s="16144"/>
      <c r="Z59" s="16144"/>
      <c r="AA59" s="16144"/>
      <c r="AB59" s="16144"/>
      <c r="AC59" s="16144"/>
      <c r="AD59" s="16144"/>
      <c r="AE59" s="16144"/>
      <c r="AF59" s="16144"/>
      <c r="AG59" s="16144"/>
      <c r="AH59" s="16144"/>
      <c r="AI59" s="16144"/>
      <c r="AJ59" s="16144"/>
      <c r="AK59" s="16144"/>
      <c r="AL59" s="16144"/>
      <c r="AM59" s="16144"/>
    </row>
    <row r="60" spans="1:44" ht="29.25" customHeight="1">
      <c r="O60" s="443"/>
      <c r="T60" s="16144"/>
      <c r="U60" s="16144"/>
      <c r="V60" s="16144"/>
      <c r="W60" s="16144"/>
      <c r="X60" s="16144"/>
      <c r="Y60" s="16144"/>
      <c r="Z60" s="16144"/>
      <c r="AA60" s="16144"/>
      <c r="AB60" s="16144"/>
      <c r="AC60" s="16144"/>
      <c r="AD60" s="16144"/>
      <c r="AE60" s="16144"/>
      <c r="AF60" s="16144"/>
      <c r="AG60" s="16144"/>
      <c r="AH60" s="16144"/>
      <c r="AI60" s="16144"/>
      <c r="AJ60" s="16144"/>
      <c r="AK60" s="16144"/>
      <c r="AL60" s="16144"/>
      <c r="AM60" s="16144"/>
    </row>
    <row r="61" spans="1:44" ht="39.75" customHeight="1">
      <c r="O61" s="443"/>
      <c r="T61" s="16144"/>
      <c r="U61" s="16144"/>
      <c r="V61" s="16144"/>
      <c r="W61" s="16144"/>
      <c r="X61" s="16144"/>
      <c r="Y61" s="16144"/>
      <c r="Z61" s="16144"/>
      <c r="AA61" s="16144"/>
      <c r="AB61" s="16144"/>
      <c r="AC61" s="16144"/>
      <c r="AD61" s="16144"/>
      <c r="AE61" s="16144"/>
      <c r="AF61" s="16144"/>
      <c r="AG61" s="16144"/>
      <c r="AH61" s="16144"/>
      <c r="AI61" s="16144"/>
      <c r="AJ61" s="16144"/>
      <c r="AK61" s="16144"/>
      <c r="AL61" s="16144"/>
      <c r="AM61" s="16144"/>
    </row>
    <row r="62" spans="1:44" ht="14.25" customHeight="1">
      <c r="O62" s="443"/>
    </row>
    <row r="63" spans="1:44" ht="19.5" customHeight="1">
      <c r="O63" s="443"/>
      <c r="S63" s="1135"/>
      <c r="T63" s="16037"/>
      <c r="U63" s="16144"/>
      <c r="V63" s="16144"/>
      <c r="W63" s="16144"/>
      <c r="X63" s="16144"/>
      <c r="Y63" s="16144"/>
      <c r="Z63" s="16144"/>
      <c r="AA63" s="16144"/>
      <c r="AB63" s="16144"/>
      <c r="AC63" s="16144"/>
      <c r="AD63" s="16144"/>
      <c r="AE63" s="16144"/>
      <c r="AF63" s="16144"/>
      <c r="AG63" s="16144"/>
      <c r="AH63" s="16144"/>
      <c r="AI63" s="16144"/>
      <c r="AJ63" s="16144"/>
      <c r="AK63" s="16144"/>
      <c r="AL63" s="16144"/>
      <c r="AM63" s="16144"/>
    </row>
    <row r="64" spans="1:44" ht="27.75" customHeight="1">
      <c r="O64" s="443"/>
      <c r="T64" s="16144"/>
      <c r="U64" s="16144"/>
      <c r="V64" s="16144"/>
      <c r="W64" s="16144"/>
      <c r="X64" s="16144"/>
      <c r="Y64" s="16144"/>
      <c r="Z64" s="16144"/>
      <c r="AA64" s="16144"/>
      <c r="AB64" s="16144"/>
      <c r="AC64" s="16144"/>
      <c r="AD64" s="16144"/>
      <c r="AE64" s="16144"/>
      <c r="AF64" s="16144"/>
      <c r="AG64" s="16144"/>
      <c r="AH64" s="16144"/>
      <c r="AI64" s="16144"/>
      <c r="AJ64" s="16144"/>
      <c r="AK64" s="16144"/>
      <c r="AL64" s="16144"/>
      <c r="AM64" s="16144"/>
    </row>
    <row r="65" spans="20:39" ht="33.75" customHeight="1">
      <c r="T65" s="16144"/>
      <c r="U65" s="16144"/>
      <c r="V65" s="16144"/>
      <c r="W65" s="16144"/>
      <c r="X65" s="16144"/>
      <c r="Y65" s="16144"/>
      <c r="Z65" s="16144"/>
      <c r="AA65" s="16144"/>
      <c r="AB65" s="16144"/>
      <c r="AC65" s="16144"/>
      <c r="AD65" s="16144"/>
      <c r="AE65" s="16144"/>
      <c r="AF65" s="16144"/>
      <c r="AG65" s="16144"/>
      <c r="AH65" s="16144"/>
      <c r="AI65" s="16144"/>
      <c r="AJ65" s="16144"/>
      <c r="AK65" s="16144"/>
      <c r="AL65" s="16144"/>
      <c r="AM65" s="1614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2" style="14419" hidden="1" customWidth="1"/>
    <col min="10" max="10" width="9.85546875" style="14419" hidden="1" customWidth="1"/>
    <col min="11" max="11" width="11.42578125" style="14419" hidden="1" customWidth="1"/>
    <col min="12" max="12" width="19.140625" style="14422" hidden="1" customWidth="1"/>
    <col min="13" max="14" width="12.28515625" style="14423" hidden="1" customWidth="1"/>
    <col min="15" max="15" width="23.42578125" style="14423" hidden="1" customWidth="1"/>
    <col min="16" max="16" width="3.7109375" style="14428" hidden="1" customWidth="1"/>
    <col min="17" max="18" width="3.7109375" style="14425" customWidth="1"/>
    <col min="19" max="19" width="12.7109375" style="14426" customWidth="1"/>
    <col min="20" max="20" width="32" style="14427" customWidth="1"/>
    <col min="21" max="21" width="0.140625" style="14427" customWidth="1"/>
    <col min="22" max="22" width="24.7109375" style="14427" hidden="1" customWidth="1"/>
    <col min="23" max="23" width="0.140625" style="14427" hidden="1" customWidth="1"/>
    <col min="24" max="25" width="24.7109375" style="14427" hidden="1" customWidth="1"/>
    <col min="26" max="26" width="11.7109375" style="14427" hidden="1" customWidth="1"/>
    <col min="27" max="27" width="3.7109375" style="14427" hidden="1" customWidth="1"/>
    <col min="28" max="28" width="11.7109375" style="14427" hidden="1" customWidth="1"/>
    <col min="29" max="29" width="8.5703125" style="14427" hidden="1" customWidth="1"/>
    <col min="30" max="30" width="24.7109375" style="14427" customWidth="1"/>
    <col min="31" max="31" width="0.140625" style="14427" customWidth="1"/>
    <col min="32" max="33" width="24.7109375" style="14427" customWidth="1"/>
    <col min="34" max="34" width="11.7109375" style="14427" customWidth="1"/>
    <col min="35" max="35" width="3.7109375" style="14427" customWidth="1"/>
    <col min="36" max="36" width="11.7109375" style="14427" customWidth="1"/>
    <col min="37" max="37" width="8.5703125" style="14427" hidden="1" customWidth="1"/>
    <col min="38" max="38" width="4.7109375" style="14427" customWidth="1"/>
    <col min="39" max="39" width="115.7109375" style="14427" customWidth="1"/>
    <col min="40" max="41" width="10.5703125" style="14421"/>
    <col min="42" max="42" width="11.140625" style="14421" customWidth="1"/>
    <col min="43" max="44" width="10.5703125" style="14421"/>
  </cols>
  <sheetData>
    <row r="1" spans="1:44" ht="14.25" hidden="1" customHeight="1">
      <c r="Y1" s="244"/>
      <c r="Z1" s="244"/>
      <c r="AG1" s="244"/>
      <c r="AH1" s="244"/>
    </row>
    <row r="2" spans="1:44" ht="21" hidden="1" customHeight="1">
      <c r="A2" s="1240"/>
      <c r="B2" s="1240"/>
      <c r="C2" s="1240"/>
      <c r="D2" s="1240"/>
      <c r="E2" s="16124">
        <v>1</v>
      </c>
      <c r="F2" s="1240"/>
      <c r="G2" s="1240"/>
      <c r="H2" s="1240"/>
      <c r="I2" s="1240"/>
      <c r="J2" s="1240"/>
      <c r="K2" s="1240"/>
      <c r="L2" s="1241"/>
      <c r="M2" s="1242"/>
      <c r="N2" s="1242"/>
      <c r="O2" s="1242"/>
      <c r="P2" s="277"/>
      <c r="Q2" s="276"/>
      <c r="R2" s="271"/>
      <c r="S2" s="1214" t="e">
        <f>INDEX(PT_DIFFERENTIATION_NUM_NTAR,MATCH(A2,PT_DIFFERENTIATION_NTAR_ID,0))</f>
        <v>#N/A</v>
      </c>
      <c r="T2" s="215" t="s">
        <v>158</v>
      </c>
      <c r="U2" s="217"/>
      <c r="V2" s="16110"/>
      <c r="W2" s="16111"/>
      <c r="X2" s="16111"/>
      <c r="Y2" s="16111"/>
      <c r="Z2" s="16111"/>
      <c r="AA2" s="16111"/>
      <c r="AB2" s="16111"/>
      <c r="AC2" s="16112"/>
      <c r="AD2" s="16110" t="e">
        <f>INDEX(PT_DIFFERENTIATION_NTAR,MATCH(A2,PT_DIFFERENTIATION_NTAR_ID,0))</f>
        <v>#N/A</v>
      </c>
      <c r="AE2" s="16111"/>
      <c r="AF2" s="16111"/>
      <c r="AG2" s="16111"/>
      <c r="AH2" s="16111"/>
      <c r="AI2" s="16111"/>
      <c r="AJ2" s="16111"/>
      <c r="AK2" s="16111"/>
      <c r="AL2" s="16112"/>
      <c r="AM2" s="1140" t="s">
        <v>533</v>
      </c>
      <c r="AO2" s="407"/>
      <c r="AP2" s="407" t="str">
        <f t="shared" ref="AP2:AP15" si="0">IF(T2="","",T2)</f>
        <v>Наименование тарифа</v>
      </c>
      <c r="AQ2" s="407"/>
      <c r="AR2" s="407"/>
    </row>
    <row r="3" spans="1:44" ht="21" hidden="1" customHeight="1">
      <c r="A3" s="1240"/>
      <c r="B3" s="1240"/>
      <c r="C3" s="1240"/>
      <c r="D3" s="1240"/>
      <c r="E3" s="16125"/>
      <c r="F3" s="16124">
        <v>1</v>
      </c>
      <c r="G3" s="1240"/>
      <c r="H3" s="1240"/>
      <c r="I3" s="1240"/>
      <c r="J3" s="1240"/>
      <c r="K3" s="1240"/>
      <c r="L3" s="1241"/>
      <c r="M3" s="1242"/>
      <c r="N3" s="1242"/>
      <c r="O3" s="1242"/>
      <c r="P3" s="1210"/>
      <c r="Q3" s="268"/>
      <c r="R3" s="269"/>
      <c r="S3" s="1214" t="e">
        <f>INDEX(PT_DIFFERENTIATION_NUM_TER,MATCH(B3,PT_DIFFERENTIATION_TER_ID,0))</f>
        <v>#N/A</v>
      </c>
      <c r="T3" s="225" t="s">
        <v>534</v>
      </c>
      <c r="U3" s="217"/>
      <c r="V3" s="16110"/>
      <c r="W3" s="16111"/>
      <c r="X3" s="16111"/>
      <c r="Y3" s="16111"/>
      <c r="Z3" s="16111"/>
      <c r="AA3" s="16111"/>
      <c r="AB3" s="16111"/>
      <c r="AC3" s="16112"/>
      <c r="AD3" s="16110" t="e">
        <f>INDEX(PT_DIFFERENTIATION_TER,MATCH(B3,PT_DIFFERENTIATION_TER_ID,0))</f>
        <v>#N/A</v>
      </c>
      <c r="AE3" s="16111"/>
      <c r="AF3" s="16111"/>
      <c r="AG3" s="16111"/>
      <c r="AH3" s="16111"/>
      <c r="AI3" s="16111"/>
      <c r="AJ3" s="16111"/>
      <c r="AK3" s="16111"/>
      <c r="AL3" s="16112"/>
      <c r="AM3" s="1140" t="s">
        <v>535</v>
      </c>
      <c r="AO3" s="407"/>
      <c r="AP3" s="407" t="str">
        <f t="shared" si="0"/>
        <v>Территория действия тарифа</v>
      </c>
      <c r="AQ3" s="407"/>
      <c r="AR3" s="407"/>
    </row>
    <row r="4" spans="1:44" ht="23.25" hidden="1" customHeight="1">
      <c r="A4" s="1240"/>
      <c r="B4" s="1240"/>
      <c r="C4" s="1240"/>
      <c r="D4" s="1240"/>
      <c r="E4" s="16125"/>
      <c r="F4" s="16125"/>
      <c r="G4" s="16124">
        <v>1</v>
      </c>
      <c r="H4" s="1240"/>
      <c r="I4" s="1240"/>
      <c r="J4" s="1240"/>
      <c r="K4" s="1240"/>
      <c r="L4" s="1241"/>
      <c r="M4" s="1242"/>
      <c r="N4" s="1242"/>
      <c r="O4" s="1242"/>
      <c r="P4" s="270"/>
      <c r="Q4" s="268"/>
      <c r="R4" s="269"/>
      <c r="S4" s="1214" t="e">
        <f>INDEX(PT_DIFFERENTIATION_NUM_CS,MATCH(C4,PT_DIFFERENTIATION_CS_ID,0))</f>
        <v>#N/A</v>
      </c>
      <c r="T4" s="226" t="s">
        <v>536</v>
      </c>
      <c r="U4" s="217"/>
      <c r="V4" s="16110"/>
      <c r="W4" s="16111"/>
      <c r="X4" s="16111"/>
      <c r="Y4" s="16111"/>
      <c r="Z4" s="16111"/>
      <c r="AA4" s="16111"/>
      <c r="AB4" s="16111"/>
      <c r="AC4" s="16112"/>
      <c r="AD4" s="16110" t="e">
        <f>INDEX(PT_DIFFERENTIATION_CS,MATCH(C4,PT_DIFFERENTIATION_CS_ID,0))</f>
        <v>#N/A</v>
      </c>
      <c r="AE4" s="16111"/>
      <c r="AF4" s="16111"/>
      <c r="AG4" s="16111"/>
      <c r="AH4" s="16111"/>
      <c r="AI4" s="16111"/>
      <c r="AJ4" s="16111"/>
      <c r="AK4" s="16111"/>
      <c r="AL4" s="16112"/>
      <c r="AM4" s="1140" t="s">
        <v>537</v>
      </c>
      <c r="AO4" s="407"/>
      <c r="AP4" s="407" t="str">
        <f t="shared" si="0"/>
        <v xml:space="preserve">Наименование системы теплоснабжения </v>
      </c>
      <c r="AQ4" s="407"/>
      <c r="AR4" s="407"/>
    </row>
    <row r="5" spans="1:44" ht="21" hidden="1" customHeight="1">
      <c r="A5" s="1240"/>
      <c r="B5" s="1240"/>
      <c r="C5" s="1240"/>
      <c r="D5" s="1240"/>
      <c r="E5" s="16125"/>
      <c r="F5" s="16125"/>
      <c r="G5" s="16125"/>
      <c r="H5" s="16124">
        <v>1</v>
      </c>
      <c r="I5" s="1240"/>
      <c r="J5" s="1240"/>
      <c r="K5" s="1240"/>
      <c r="L5" s="1241"/>
      <c r="M5" s="1242"/>
      <c r="N5" s="1242"/>
      <c r="O5" s="1242"/>
      <c r="P5" s="270"/>
      <c r="Q5" s="268"/>
      <c r="R5" s="269"/>
      <c r="S5" s="1214" t="e">
        <f>INDEX(PT_DIFFERENTIATION_NUM_IST_TE,MATCH(D5,PT_DIFFERENTIATION_IST_TE_ID,0))</f>
        <v>#N/A</v>
      </c>
      <c r="T5" s="227" t="s">
        <v>538</v>
      </c>
      <c r="U5" s="217"/>
      <c r="V5" s="16110"/>
      <c r="W5" s="16111"/>
      <c r="X5" s="16111"/>
      <c r="Y5" s="16111"/>
      <c r="Z5" s="16111"/>
      <c r="AA5" s="16111"/>
      <c r="AB5" s="16111"/>
      <c r="AC5" s="16112"/>
      <c r="AD5" s="16110" t="e">
        <f>INDEX(PT_DIFFERENTIATION_IST_TE,MATCH(D5,PT_DIFFERENTIATION_IST_TE_ID,0))</f>
        <v>#N/A</v>
      </c>
      <c r="AE5" s="16111"/>
      <c r="AF5" s="16111"/>
      <c r="AG5" s="16111"/>
      <c r="AH5" s="16111"/>
      <c r="AI5" s="16111"/>
      <c r="AJ5" s="16111"/>
      <c r="AK5" s="16111"/>
      <c r="AL5" s="16112"/>
      <c r="AM5" s="1140" t="s">
        <v>539</v>
      </c>
      <c r="AO5" s="407"/>
      <c r="AP5" s="407" t="str">
        <f t="shared" si="0"/>
        <v xml:space="preserve">Источник тепловой энергии  </v>
      </c>
      <c r="AQ5" s="407"/>
      <c r="AR5" s="407"/>
    </row>
    <row r="6" spans="1:44" ht="14.25" hidden="1" customHeight="1">
      <c r="A6" s="1240"/>
      <c r="B6" s="1240"/>
      <c r="C6" s="1240"/>
      <c r="D6" s="1240"/>
      <c r="E6" s="16125"/>
      <c r="F6" s="16125"/>
      <c r="G6" s="16125"/>
      <c r="H6" s="16125"/>
      <c r="I6" s="16122" t="e">
        <f>S5&amp;".1"</f>
        <v>#N/A</v>
      </c>
      <c r="J6" s="1240"/>
      <c r="K6" s="1240"/>
      <c r="L6" s="1241" t="s">
        <v>540</v>
      </c>
      <c r="M6" s="443"/>
      <c r="P6" s="16123">
        <v>1</v>
      </c>
      <c r="Q6" s="1209"/>
      <c r="R6" s="272"/>
      <c r="S6" s="930"/>
      <c r="T6" s="1260"/>
      <c r="U6" s="1261"/>
      <c r="V6" s="16153"/>
      <c r="W6" s="16154"/>
      <c r="X6" s="16154"/>
      <c r="Y6" s="16154"/>
      <c r="Z6" s="16154"/>
      <c r="AA6" s="16154"/>
      <c r="AB6" s="16154"/>
      <c r="AC6" s="16155"/>
      <c r="AD6" s="16153"/>
      <c r="AE6" s="16154"/>
      <c r="AF6" s="16154"/>
      <c r="AG6" s="16154"/>
      <c r="AH6" s="16154"/>
      <c r="AI6" s="16154"/>
      <c r="AJ6" s="16154"/>
      <c r="AK6" s="16154"/>
      <c r="AL6" s="16155"/>
      <c r="AM6" s="1262"/>
      <c r="AO6" s="407"/>
      <c r="AP6" s="407" t="str">
        <f t="shared" si="0"/>
        <v/>
      </c>
      <c r="AQ6" s="407"/>
      <c r="AR6" s="407"/>
    </row>
    <row r="7" spans="1:44" ht="21" hidden="1" customHeight="1">
      <c r="A7" s="1240"/>
      <c r="B7" s="1240"/>
      <c r="C7" s="1240"/>
      <c r="D7" s="1240"/>
      <c r="E7" s="16125"/>
      <c r="F7" s="16125"/>
      <c r="G7" s="16125"/>
      <c r="H7" s="16125"/>
      <c r="I7" s="16145"/>
      <c r="J7" s="16122" t="e">
        <f>I6&amp;".1"</f>
        <v>#N/A</v>
      </c>
      <c r="K7" s="1240"/>
      <c r="L7" s="1241" t="s">
        <v>543</v>
      </c>
      <c r="M7" s="443"/>
      <c r="N7" s="1243"/>
      <c r="P7" s="16123"/>
      <c r="Q7" s="16123">
        <v>1</v>
      </c>
      <c r="R7" s="273"/>
      <c r="S7" s="1214" t="e">
        <f>$J7</f>
        <v>#N/A</v>
      </c>
      <c r="T7" s="203" t="s">
        <v>544</v>
      </c>
      <c r="U7" s="217"/>
      <c r="V7" s="16113"/>
      <c r="W7" s="16114"/>
      <c r="X7" s="16114"/>
      <c r="Y7" s="16114"/>
      <c r="Z7" s="16114"/>
      <c r="AA7" s="16114"/>
      <c r="AB7" s="16114"/>
      <c r="AC7" s="16115"/>
      <c r="AD7" s="16113"/>
      <c r="AE7" s="16114"/>
      <c r="AF7" s="16114"/>
      <c r="AG7" s="16114"/>
      <c r="AH7" s="16114"/>
      <c r="AI7" s="16114"/>
      <c r="AJ7" s="16114"/>
      <c r="AK7" s="16114"/>
      <c r="AL7" s="16115"/>
      <c r="AM7" s="1140" t="s">
        <v>545</v>
      </c>
      <c r="AO7" s="407"/>
      <c r="AP7" s="407" t="str">
        <f t="shared" si="0"/>
        <v>Группа потребителей</v>
      </c>
      <c r="AQ7" s="407"/>
      <c r="AR7" s="407"/>
    </row>
    <row r="8" spans="1:44" ht="21" hidden="1" customHeight="1">
      <c r="A8" s="1240"/>
      <c r="B8" s="1240"/>
      <c r="C8" s="1240"/>
      <c r="D8" s="1240"/>
      <c r="E8" s="16125"/>
      <c r="F8" s="16125"/>
      <c r="G8" s="16125"/>
      <c r="H8" s="16125"/>
      <c r="I8" s="16145"/>
      <c r="J8" s="16145"/>
      <c r="K8" s="16122" t="e">
        <f>J7&amp;".1"</f>
        <v>#N/A</v>
      </c>
      <c r="L8" s="1241" t="s">
        <v>546</v>
      </c>
      <c r="M8" s="443"/>
      <c r="N8" s="1243"/>
      <c r="O8" s="1243"/>
      <c r="P8" s="16123"/>
      <c r="Q8" s="16123"/>
      <c r="R8" s="273">
        <v>1</v>
      </c>
      <c r="S8" s="1214" t="e">
        <f>$K8</f>
        <v>#N/A</v>
      </c>
      <c r="T8" s="1225"/>
      <c r="U8" s="217"/>
      <c r="V8" s="649"/>
      <c r="W8" s="242"/>
      <c r="X8" s="649"/>
      <c r="Y8" s="1139"/>
      <c r="Z8" s="16127"/>
      <c r="AA8" s="15973" t="s">
        <v>66</v>
      </c>
      <c r="AB8" s="16127"/>
      <c r="AC8" s="15973" t="s">
        <v>66</v>
      </c>
      <c r="AD8" s="649"/>
      <c r="AE8" s="242"/>
      <c r="AF8" s="649"/>
      <c r="AG8" s="1139"/>
      <c r="AH8" s="16127"/>
      <c r="AI8" s="15973" t="s">
        <v>66</v>
      </c>
      <c r="AJ8" s="16127"/>
      <c r="AK8" s="15973" t="s">
        <v>66</v>
      </c>
      <c r="AL8" s="242"/>
      <c r="AM8" s="16119" t="s">
        <v>547</v>
      </c>
      <c r="AN8" s="418" t="e">
        <f ca="1">STRCHECKDATE(V9:AL9)</f>
        <v>#NAME?</v>
      </c>
      <c r="AO8" s="407"/>
      <c r="AP8" s="407" t="str">
        <f t="shared" si="0"/>
        <v/>
      </c>
      <c r="AQ8" s="407"/>
      <c r="AR8" s="407"/>
    </row>
    <row r="9" spans="1:44" ht="14.25" hidden="1" customHeight="1">
      <c r="A9" s="1240"/>
      <c r="B9" s="1240"/>
      <c r="C9" s="1240"/>
      <c r="D9" s="1240"/>
      <c r="E9" s="16125"/>
      <c r="F9" s="16125"/>
      <c r="G9" s="16125"/>
      <c r="H9" s="16125"/>
      <c r="I9" s="16145"/>
      <c r="J9" s="16145"/>
      <c r="K9" s="16122"/>
      <c r="L9" s="1241"/>
      <c r="M9" s="443"/>
      <c r="N9" s="1243"/>
      <c r="O9" s="1243"/>
      <c r="P9" s="16123"/>
      <c r="Q9" s="16123"/>
      <c r="R9" s="273"/>
      <c r="S9" s="1220"/>
      <c r="T9" s="217"/>
      <c r="U9" s="217"/>
      <c r="V9" s="242"/>
      <c r="W9" s="242"/>
      <c r="X9" s="242"/>
      <c r="Y9" s="245" t="str">
        <f>Z8&amp;"-"&amp;AB8</f>
        <v>-</v>
      </c>
      <c r="Z9" s="16128"/>
      <c r="AA9" s="15973"/>
      <c r="AB9" s="16128"/>
      <c r="AC9" s="15973"/>
      <c r="AD9" s="242"/>
      <c r="AE9" s="242"/>
      <c r="AF9" s="242"/>
      <c r="AG9" s="245" t="str">
        <f>AH8&amp;"-"&amp;AJ8</f>
        <v>-</v>
      </c>
      <c r="AH9" s="16128"/>
      <c r="AI9" s="15973"/>
      <c r="AJ9" s="16128"/>
      <c r="AK9" s="15973"/>
      <c r="AL9" s="242"/>
      <c r="AM9" s="16120"/>
      <c r="AO9" s="407"/>
      <c r="AP9" s="407" t="str">
        <f t="shared" si="0"/>
        <v/>
      </c>
      <c r="AQ9" s="407"/>
      <c r="AR9" s="407"/>
    </row>
    <row r="10" spans="1:44" ht="15" hidden="1" customHeight="1">
      <c r="A10" s="1240"/>
      <c r="B10" s="1240"/>
      <c r="C10" s="1240"/>
      <c r="D10" s="1240"/>
      <c r="E10" s="16125"/>
      <c r="F10" s="16125"/>
      <c r="G10" s="16125"/>
      <c r="H10" s="16125"/>
      <c r="I10" s="16145"/>
      <c r="J10" s="16122"/>
      <c r="K10" s="1240"/>
      <c r="L10" s="1241"/>
      <c r="M10" s="443"/>
      <c r="N10" s="1243"/>
      <c r="P10" s="16123"/>
      <c r="Q10" s="16123"/>
      <c r="R10" s="272"/>
      <c r="S10" s="1160"/>
      <c r="T10" s="204" t="s">
        <v>548</v>
      </c>
      <c r="U10" s="282"/>
      <c r="V10" s="282"/>
      <c r="W10" s="282"/>
      <c r="X10" s="282"/>
      <c r="Y10" s="282"/>
      <c r="Z10" s="282"/>
      <c r="AA10" s="282"/>
      <c r="AB10" s="282"/>
      <c r="AC10" s="282"/>
      <c r="AD10" s="282"/>
      <c r="AE10" s="282"/>
      <c r="AF10" s="282"/>
      <c r="AG10" s="282"/>
      <c r="AH10" s="282"/>
      <c r="AI10" s="282"/>
      <c r="AJ10" s="282"/>
      <c r="AK10" s="282"/>
      <c r="AL10" s="241"/>
      <c r="AM10" s="16121"/>
      <c r="AO10" s="407"/>
      <c r="AP10" s="407" t="str">
        <f t="shared" si="0"/>
        <v>Добавить вид теплоносителя (параметры теплоносителя)</v>
      </c>
      <c r="AQ10" s="407"/>
      <c r="AR10" s="407"/>
    </row>
    <row r="11" spans="1:44" ht="11.25" hidden="1" customHeight="1">
      <c r="A11" s="1240"/>
      <c r="B11" s="1240"/>
      <c r="C11" s="1240"/>
      <c r="D11" s="1240"/>
      <c r="E11" s="16125"/>
      <c r="F11" s="16125"/>
      <c r="G11" s="16125"/>
      <c r="H11" s="16125"/>
      <c r="I11" s="16122"/>
      <c r="J11" s="1240"/>
      <c r="K11" s="1240"/>
      <c r="L11" s="1241"/>
      <c r="M11" s="443"/>
      <c r="P11" s="16123"/>
      <c r="Q11" s="1209"/>
      <c r="R11" s="272"/>
      <c r="S11" s="1160"/>
      <c r="T11" s="280" t="s">
        <v>549</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0"/>
      <c r="B12" s="1240"/>
      <c r="C12" s="1240"/>
      <c r="D12" s="1240"/>
      <c r="E12" s="16125"/>
      <c r="F12" s="16125"/>
      <c r="G12" s="16125"/>
      <c r="H12" s="16124"/>
      <c r="I12" s="1240"/>
      <c r="J12" s="1240"/>
      <c r="K12" s="1240"/>
      <c r="L12" s="1241"/>
      <c r="M12" s="1242"/>
      <c r="N12" s="1242"/>
      <c r="O12" s="443"/>
      <c r="P12" s="276"/>
      <c r="Q12" s="290"/>
      <c r="R12" s="271"/>
      <c r="S12" s="1263"/>
      <c r="T12" s="1264"/>
      <c r="U12" s="1265"/>
      <c r="V12" s="1265"/>
      <c r="W12" s="1265"/>
      <c r="X12" s="1265"/>
      <c r="Y12" s="1265"/>
      <c r="Z12" s="1265"/>
      <c r="AA12" s="1265"/>
      <c r="AB12" s="1265"/>
      <c r="AC12" s="1265"/>
      <c r="AD12" s="1265"/>
      <c r="AE12" s="1265"/>
      <c r="AF12" s="1265"/>
      <c r="AG12" s="1265"/>
      <c r="AH12" s="1265"/>
      <c r="AI12" s="1265"/>
      <c r="AJ12" s="1265"/>
      <c r="AK12" s="1265"/>
      <c r="AL12" s="1265"/>
      <c r="AM12" s="1266"/>
      <c r="AO12" s="407"/>
      <c r="AP12" s="407" t="str">
        <f t="shared" si="0"/>
        <v/>
      </c>
      <c r="AQ12" s="407"/>
      <c r="AR12" s="407"/>
    </row>
    <row r="13" spans="1:44" s="14418" customFormat="1" ht="14.25" hidden="1" customHeight="1">
      <c r="A13" s="1193"/>
      <c r="B13" s="1193"/>
      <c r="C13" s="1193"/>
      <c r="D13" s="1193"/>
      <c r="E13" s="16125"/>
      <c r="F13" s="16125"/>
      <c r="G13" s="16124"/>
      <c r="H13" s="1193"/>
      <c r="I13" s="1193"/>
      <c r="J13" s="1193"/>
      <c r="K13" s="1193"/>
      <c r="L13" s="1217"/>
      <c r="M13" s="1194"/>
      <c r="N13" s="1194"/>
      <c r="P13" s="1195"/>
      <c r="Q13" s="1196"/>
      <c r="R13" s="1195"/>
      <c r="S13" s="1197"/>
      <c r="T13" s="1198" t="s">
        <v>551</v>
      </c>
      <c r="U13" s="1199"/>
      <c r="V13" s="1199"/>
      <c r="W13" s="1199"/>
      <c r="X13" s="1199"/>
      <c r="Y13" s="1199"/>
      <c r="Z13" s="1199"/>
      <c r="AA13" s="1199"/>
      <c r="AB13" s="1199"/>
      <c r="AC13" s="1199"/>
      <c r="AD13" s="1199"/>
      <c r="AE13" s="1199"/>
      <c r="AF13" s="1199"/>
      <c r="AG13" s="1199"/>
      <c r="AH13" s="1199"/>
      <c r="AI13" s="1199"/>
      <c r="AJ13" s="1199"/>
      <c r="AK13" s="1199"/>
      <c r="AL13" s="1199"/>
      <c r="AM13" s="1199"/>
      <c r="AO13" s="687"/>
      <c r="AP13" s="687" t="str">
        <f t="shared" si="0"/>
        <v>Добавить источник для дифференциации</v>
      </c>
      <c r="AQ13" s="687"/>
      <c r="AR13" s="687"/>
    </row>
    <row r="14" spans="1:44" s="14418" customFormat="1" ht="14.25" hidden="1" customHeight="1">
      <c r="A14" s="1193"/>
      <c r="B14" s="1193"/>
      <c r="C14" s="1193"/>
      <c r="D14" s="1193"/>
      <c r="E14" s="16125"/>
      <c r="F14" s="16124"/>
      <c r="G14" s="1193"/>
      <c r="H14" s="1193"/>
      <c r="I14" s="1193"/>
      <c r="J14" s="1193"/>
      <c r="K14" s="1193"/>
      <c r="L14" s="1217"/>
      <c r="M14" s="1200"/>
      <c r="N14" s="1200"/>
      <c r="P14" s="1195"/>
      <c r="Q14" s="1196"/>
      <c r="R14" s="1195"/>
      <c r="S14" s="1201"/>
      <c r="T14" s="1202" t="s">
        <v>290</v>
      </c>
      <c r="U14" s="1203"/>
      <c r="V14" s="1203"/>
      <c r="W14" s="1203"/>
      <c r="X14" s="1203"/>
      <c r="Y14" s="1203"/>
      <c r="Z14" s="1203"/>
      <c r="AA14" s="1203"/>
      <c r="AB14" s="1203"/>
      <c r="AC14" s="1203"/>
      <c r="AD14" s="1203"/>
      <c r="AE14" s="1203"/>
      <c r="AF14" s="1203"/>
      <c r="AG14" s="1203"/>
      <c r="AH14" s="1203"/>
      <c r="AI14" s="1203"/>
      <c r="AJ14" s="1203"/>
      <c r="AK14" s="1203"/>
      <c r="AL14" s="1203"/>
      <c r="AM14" s="1203"/>
      <c r="AO14" s="687"/>
      <c r="AP14" s="687" t="str">
        <f t="shared" si="0"/>
        <v>Добавить централизованную систему для дифференциации</v>
      </c>
      <c r="AQ14" s="687"/>
      <c r="AR14" s="687"/>
    </row>
    <row r="15" spans="1:44" s="14418" customFormat="1" ht="14.25" hidden="1" customHeight="1">
      <c r="A15" s="1193"/>
      <c r="B15" s="1193"/>
      <c r="C15" s="1193"/>
      <c r="D15" s="1193"/>
      <c r="E15" s="16124"/>
      <c r="F15" s="1193"/>
      <c r="G15" s="1193"/>
      <c r="H15" s="1193"/>
      <c r="I15" s="1193"/>
      <c r="J15" s="1193"/>
      <c r="K15" s="1193"/>
      <c r="L15" s="1217"/>
      <c r="M15" s="1200"/>
      <c r="N15" s="1200"/>
      <c r="P15" s="1195"/>
      <c r="Q15" s="1196"/>
      <c r="R15" s="1195"/>
      <c r="S15" s="1201"/>
      <c r="T15" s="1204" t="s">
        <v>326</v>
      </c>
      <c r="U15" s="1203"/>
      <c r="V15" s="1203"/>
      <c r="W15" s="1203"/>
      <c r="X15" s="1203"/>
      <c r="Y15" s="1203"/>
      <c r="Z15" s="1203"/>
      <c r="AA15" s="1203"/>
      <c r="AB15" s="1203"/>
      <c r="AC15" s="1203"/>
      <c r="AD15" s="1203"/>
      <c r="AE15" s="1203"/>
      <c r="AF15" s="1203"/>
      <c r="AG15" s="1203"/>
      <c r="AH15" s="1203"/>
      <c r="AI15" s="1203"/>
      <c r="AJ15" s="1203"/>
      <c r="AK15" s="1203"/>
      <c r="AL15" s="1203"/>
      <c r="AM15" s="1203"/>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7"/>
      <c r="AE17" s="1237"/>
      <c r="AF17" s="1237"/>
      <c r="AG17" s="1238"/>
      <c r="AH17" s="16129"/>
      <c r="AI17" s="16130" t="s">
        <v>66</v>
      </c>
      <c r="AJ17" s="16129"/>
      <c r="AK17" s="16130" t="s">
        <v>66</v>
      </c>
    </row>
    <row r="18" spans="1:44" ht="14.25" hidden="1" customHeight="1">
      <c r="AD18" s="1237"/>
      <c r="AE18" s="1237"/>
      <c r="AF18" s="1237"/>
      <c r="AG18" s="245" t="str">
        <f>AH17&amp;"-"&amp;AJ17</f>
        <v>-</v>
      </c>
      <c r="AH18" s="16130"/>
      <c r="AI18" s="16130"/>
      <c r="AJ18" s="16130"/>
      <c r="AK18" s="16130"/>
    </row>
    <row r="19" spans="1:44" ht="14.25" hidden="1" customHeight="1">
      <c r="AK19" s="244"/>
    </row>
    <row r="20" spans="1:44" s="14419" customFormat="1" ht="22.5" hidden="1" customHeight="1">
      <c r="L20" s="1207"/>
      <c r="M20" s="1239"/>
      <c r="N20" s="1239"/>
      <c r="O20" s="1244" t="s">
        <v>552</v>
      </c>
      <c r="P20" s="1239"/>
      <c r="Q20" s="1248"/>
      <c r="R20" s="1248"/>
      <c r="S20" s="629"/>
      <c r="Z20" s="1244"/>
      <c r="AB20" s="1244"/>
      <c r="AC20" s="1243"/>
      <c r="AH20" s="1244"/>
      <c r="AJ20" s="1244"/>
      <c r="AK20" s="1243"/>
      <c r="AN20" s="418"/>
      <c r="AO20" s="418"/>
      <c r="AP20" s="418"/>
      <c r="AQ20" s="418"/>
      <c r="AR20" s="418"/>
    </row>
    <row r="21" spans="1:44" s="14419" customFormat="1" ht="14.25" hidden="1" customHeight="1">
      <c r="L21" s="1207"/>
      <c r="M21" s="1239"/>
      <c r="N21" s="1239"/>
      <c r="O21" s="1239"/>
      <c r="P21" s="1239"/>
      <c r="Q21" s="1248"/>
      <c r="R21" s="1248"/>
      <c r="S21" s="629"/>
      <c r="AC21" s="1243"/>
      <c r="AK21" s="1243"/>
      <c r="AN21" s="418"/>
      <c r="AO21" s="418"/>
      <c r="AP21" s="418"/>
      <c r="AQ21" s="418"/>
      <c r="AR21" s="418"/>
    </row>
    <row r="22" spans="1:44" s="14419" customFormat="1" ht="14.25" hidden="1" customHeight="1">
      <c r="L22" s="1207"/>
      <c r="M22" s="1239"/>
      <c r="N22" s="1239"/>
      <c r="O22" s="1241" t="s">
        <v>553</v>
      </c>
      <c r="P22" s="1239"/>
      <c r="Q22" s="1248"/>
      <c r="R22" s="1248"/>
      <c r="S22" s="629"/>
      <c r="T22" s="1041" t="s">
        <v>554</v>
      </c>
      <c r="AA22" s="108" t="s">
        <v>555</v>
      </c>
      <c r="AC22" s="108" t="s">
        <v>556</v>
      </c>
      <c r="AD22" s="1041" t="s">
        <v>554</v>
      </c>
      <c r="AI22" s="108" t="s">
        <v>557</v>
      </c>
      <c r="AK22" s="108" t="s">
        <v>556</v>
      </c>
      <c r="AN22" s="418"/>
      <c r="AO22" s="418"/>
      <c r="AP22" s="418"/>
      <c r="AQ22" s="418"/>
      <c r="AR22" s="418"/>
    </row>
    <row r="23" spans="1:44" ht="14.25" hidden="1" customHeight="1">
      <c r="O23" s="1241"/>
    </row>
    <row r="24" spans="1:44" ht="14.25" hidden="1" customHeight="1">
      <c r="O24" s="1241"/>
    </row>
    <row r="25" spans="1:44" ht="14.25" customHeight="1">
      <c r="Q25" s="291"/>
      <c r="R25" s="291"/>
      <c r="S25" s="1157"/>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161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6108"/>
      <c r="U26" s="16108"/>
      <c r="V26" s="16108"/>
      <c r="W26" s="16108"/>
      <c r="X26" s="16108"/>
      <c r="Y26" s="16108"/>
      <c r="Z26" s="16108"/>
      <c r="AA26" s="16108"/>
      <c r="AB26" s="16108"/>
      <c r="AC26" s="16108"/>
      <c r="AD26" s="16108"/>
      <c r="AE26" s="16108"/>
      <c r="AF26" s="16108"/>
      <c r="AG26" s="16108"/>
      <c r="AH26" s="16108"/>
      <c r="AI26" s="16108"/>
      <c r="AJ26" s="16108"/>
      <c r="AK26" s="1125"/>
    </row>
    <row r="27" spans="1:44" ht="14.25" customHeight="1">
      <c r="Q27" s="291"/>
      <c r="R27" s="291"/>
      <c r="S27" s="16056" t="str">
        <f>IF(org=0,"Не определено",org)</f>
        <v>АО "Мурманэнергосбыт"</v>
      </c>
      <c r="T27" s="16056"/>
      <c r="U27" s="16056"/>
      <c r="V27" s="16056"/>
      <c r="W27" s="16056"/>
      <c r="X27" s="16056"/>
      <c r="Y27" s="16056"/>
      <c r="Z27" s="16056"/>
      <c r="AA27" s="16056"/>
      <c r="AB27" s="16056"/>
      <c r="AC27" s="16056"/>
      <c r="AD27" s="16056"/>
      <c r="AE27" s="16056"/>
      <c r="AF27" s="16056"/>
      <c r="AG27" s="16056"/>
      <c r="AH27" s="16056"/>
      <c r="AI27" s="16056"/>
      <c r="AJ27" s="16056"/>
      <c r="AK27" s="1125"/>
    </row>
    <row r="28" spans="1:44" ht="14.25" customHeight="1">
      <c r="Q28" s="291"/>
      <c r="R28" s="291"/>
      <c r="S28" s="1157"/>
      <c r="T28" s="279"/>
      <c r="U28" s="279"/>
      <c r="V28" s="239"/>
      <c r="W28" s="239"/>
      <c r="X28" s="239"/>
      <c r="Y28" s="239"/>
      <c r="Z28" s="239"/>
      <c r="AA28" s="239"/>
      <c r="AB28" s="239"/>
      <c r="AC28" s="239"/>
      <c r="AD28" s="239"/>
      <c r="AE28" s="239"/>
      <c r="AF28" s="239"/>
      <c r="AG28" s="239"/>
      <c r="AH28" s="239"/>
      <c r="AI28" s="239"/>
      <c r="AJ28" s="239"/>
      <c r="AK28" s="239"/>
      <c r="AL28" s="416"/>
    </row>
    <row r="29" spans="1:44" s="14420" customFormat="1" ht="25.5" customHeight="1">
      <c r="A29" s="1245"/>
      <c r="B29" s="1245"/>
      <c r="C29" s="1245"/>
      <c r="D29" s="1245"/>
      <c r="E29" s="1245"/>
      <c r="F29" s="1245"/>
      <c r="G29" s="1245"/>
      <c r="H29" s="1245"/>
      <c r="I29" s="1245"/>
      <c r="J29" s="1245"/>
      <c r="K29" s="1245"/>
      <c r="L29" s="1246"/>
      <c r="M29" s="1245"/>
      <c r="N29" s="1245"/>
      <c r="O29" s="1245"/>
      <c r="S29" s="16116" t="s">
        <v>38</v>
      </c>
      <c r="T29" s="16116"/>
      <c r="U29" s="1249"/>
      <c r="V29" s="16117" t="str">
        <f>IF(TITLE_NAME_OR_PR_CHANGE="",IF(TITLE_NAME_OR_PR="","",TITLE_NAME_OR_PR),TITLE_NAME_OR_PR_CHANGE)</f>
        <v>Комитет по тарифному регулированию Мурманской области</v>
      </c>
      <c r="W29" s="16117"/>
      <c r="X29" s="16117"/>
      <c r="Y29" s="16117"/>
      <c r="Z29" s="16117"/>
      <c r="AA29" s="16117"/>
      <c r="AB29" s="16117"/>
      <c r="AC29" s="243"/>
      <c r="AD29" s="16117" t="str">
        <f>IF(TITLE_NAME_OR_PR_CHANGE="",IF(TITLE_NAME_OR_PR="","",TITLE_NAME_OR_PR),TITLE_NAME_OR_PR_CHANGE)</f>
        <v>Комитет по тарифному регулированию Мурманской области</v>
      </c>
      <c r="AE29" s="16117"/>
      <c r="AF29" s="16117"/>
      <c r="AG29" s="16117"/>
      <c r="AH29" s="16117"/>
      <c r="AI29" s="16117"/>
      <c r="AJ29" s="16117"/>
      <c r="AK29" s="243"/>
      <c r="AL29" s="243"/>
      <c r="AM29" s="198"/>
      <c r="AN29" s="283"/>
      <c r="AO29" s="283"/>
      <c r="AP29" s="283"/>
      <c r="AQ29" s="283"/>
      <c r="AR29" s="283"/>
    </row>
    <row r="30" spans="1:44" s="14420" customFormat="1" ht="18.75" customHeight="1">
      <c r="A30" s="1245"/>
      <c r="B30" s="1245"/>
      <c r="C30" s="1245"/>
      <c r="D30" s="1245"/>
      <c r="E30" s="1245"/>
      <c r="F30" s="1245"/>
      <c r="G30" s="1245"/>
      <c r="H30" s="1245"/>
      <c r="I30" s="1245"/>
      <c r="J30" s="1245"/>
      <c r="K30" s="1245"/>
      <c r="L30" s="1246"/>
      <c r="M30" s="1245"/>
      <c r="N30" s="1245"/>
      <c r="O30" s="1245"/>
      <c r="S30" s="16116" t="s">
        <v>558</v>
      </c>
      <c r="T30" s="16116"/>
      <c r="U30" s="1249"/>
      <c r="V30" s="16126">
        <f>IF(TITLE_DATE_PR_CHANGE="",IF(TITLE_DATE_PR="","",TITLE_DATE_PR),TITLE_DATE_PR_CHANGE)</f>
        <v>45379</v>
      </c>
      <c r="W30" s="16126"/>
      <c r="X30" s="16126"/>
      <c r="Y30" s="16126"/>
      <c r="Z30" s="16126"/>
      <c r="AA30" s="16126"/>
      <c r="AB30" s="16126"/>
      <c r="AC30" s="243"/>
      <c r="AD30" s="16126">
        <f>IF(TITLE_DATE_PR_CHANGE="",IF(TITLE_DATE_PR="","",TITLE_DATE_PR),TITLE_DATE_PR_CHANGE)</f>
        <v>45379</v>
      </c>
      <c r="AE30" s="16126"/>
      <c r="AF30" s="16126"/>
      <c r="AG30" s="16126"/>
      <c r="AH30" s="16126"/>
      <c r="AI30" s="16126"/>
      <c r="AJ30" s="16126"/>
      <c r="AK30" s="243"/>
      <c r="AL30" s="243"/>
      <c r="AM30" s="198"/>
      <c r="AN30" s="283"/>
      <c r="AO30" s="283"/>
      <c r="AP30" s="283"/>
      <c r="AQ30" s="283"/>
      <c r="AR30" s="283"/>
    </row>
    <row r="31" spans="1:44" s="14420" customFormat="1" ht="18.75" customHeight="1">
      <c r="A31" s="1245"/>
      <c r="B31" s="1245"/>
      <c r="C31" s="1245"/>
      <c r="D31" s="1245"/>
      <c r="E31" s="1245"/>
      <c r="F31" s="1245"/>
      <c r="G31" s="1245"/>
      <c r="H31" s="1245"/>
      <c r="I31" s="1245"/>
      <c r="J31" s="1245"/>
      <c r="K31" s="1245"/>
      <c r="L31" s="1246"/>
      <c r="M31" s="1245"/>
      <c r="N31" s="1245"/>
      <c r="O31" s="1245"/>
      <c r="S31" s="16116" t="s">
        <v>559</v>
      </c>
      <c r="T31" s="16116"/>
      <c r="U31" s="1249"/>
      <c r="V31" s="16117" t="str">
        <f>IF(TITLE_NUMBER_PR_CHANGE="",IF(TITLE_NUMBER_PR="","",TITLE_NUMBER_PR),TITLE_NUMBER_PR_CHANGE)</f>
        <v>8/6</v>
      </c>
      <c r="W31" s="16117"/>
      <c r="X31" s="16117"/>
      <c r="Y31" s="16117"/>
      <c r="Z31" s="16117"/>
      <c r="AA31" s="16117"/>
      <c r="AB31" s="16117"/>
      <c r="AC31" s="243"/>
      <c r="AD31" s="16117" t="str">
        <f>IF(TITLE_NUMBER_PR_CHANGE="",IF(TITLE_NUMBER_PR="","",TITLE_NUMBER_PR),TITLE_NUMBER_PR_CHANGE)</f>
        <v>8/6</v>
      </c>
      <c r="AE31" s="16117"/>
      <c r="AF31" s="16117"/>
      <c r="AG31" s="16117"/>
      <c r="AH31" s="16117"/>
      <c r="AI31" s="16117"/>
      <c r="AJ31" s="16117"/>
      <c r="AK31" s="243"/>
      <c r="AL31" s="243"/>
      <c r="AM31" s="198"/>
      <c r="AN31" s="283"/>
      <c r="AO31" s="283"/>
      <c r="AP31" s="283"/>
      <c r="AQ31" s="283"/>
      <c r="AR31" s="283"/>
    </row>
    <row r="32" spans="1:44" s="14420" customFormat="1" ht="18.75" customHeight="1">
      <c r="A32" s="1245"/>
      <c r="B32" s="1245"/>
      <c r="C32" s="1245"/>
      <c r="D32" s="1245"/>
      <c r="E32" s="1245"/>
      <c r="F32" s="1245"/>
      <c r="G32" s="1245"/>
      <c r="H32" s="1245"/>
      <c r="I32" s="1245"/>
      <c r="J32" s="1245"/>
      <c r="K32" s="1245"/>
      <c r="L32" s="1246"/>
      <c r="M32" s="1245"/>
      <c r="N32" s="1245"/>
      <c r="O32" s="1245"/>
      <c r="S32" s="16116" t="s">
        <v>40</v>
      </c>
      <c r="T32" s="16116"/>
      <c r="U32" s="1249"/>
      <c r="V32" s="16117" t="str">
        <f>IF(TITLE_IST_PUB_CHANGE="",IF(TITLE_IST_PUB="","",TITLE_IST_PUB),TITLE_IST_PUB_CHANGE)</f>
        <v>https://npa.gov-murman.ru/bitrix/components/b1team/govmurman.element.file/download.php?ID=518761&amp;FID=765125</v>
      </c>
      <c r="W32" s="16117"/>
      <c r="X32" s="16117"/>
      <c r="Y32" s="16117"/>
      <c r="Z32" s="16117"/>
      <c r="AA32" s="16117"/>
      <c r="AB32" s="16117"/>
      <c r="AC32" s="243"/>
      <c r="AD32" s="16117" t="str">
        <f>IF(TITLE_IST_PUB_CHANGE="",IF(TITLE_IST_PUB="","",TITLE_IST_PUB),TITLE_IST_PUB_CHANGE)</f>
        <v>https://npa.gov-murman.ru/bitrix/components/b1team/govmurman.element.file/download.php?ID=518761&amp;FID=765125</v>
      </c>
      <c r="AE32" s="16117"/>
      <c r="AF32" s="16117"/>
      <c r="AG32" s="16117"/>
      <c r="AH32" s="16117"/>
      <c r="AI32" s="16117"/>
      <c r="AJ32" s="16117"/>
      <c r="AK32" s="243"/>
      <c r="AL32" s="243"/>
      <c r="AM32" s="198"/>
      <c r="AN32" s="283"/>
      <c r="AO32" s="283"/>
      <c r="AP32" s="283"/>
      <c r="AQ32" s="283"/>
      <c r="AR32" s="283"/>
    </row>
    <row r="33" spans="1:44" ht="14.25" hidden="1" customHeight="1">
      <c r="Q33" s="291"/>
      <c r="R33" s="291"/>
      <c r="S33" s="1157"/>
      <c r="T33" s="279"/>
      <c r="U33" s="279"/>
      <c r="V33" s="239"/>
      <c r="W33" s="239"/>
      <c r="X33" s="239"/>
      <c r="Y33" s="239"/>
      <c r="Z33" s="239"/>
      <c r="AA33" s="239"/>
      <c r="AB33" s="239"/>
      <c r="AC33" s="239"/>
      <c r="AD33" s="239"/>
      <c r="AE33" s="239"/>
      <c r="AF33" s="239"/>
      <c r="AG33" s="239"/>
      <c r="AH33" s="239"/>
      <c r="AI33" s="239"/>
      <c r="AJ33" s="239"/>
      <c r="AK33" s="239"/>
      <c r="AL33" s="416"/>
    </row>
    <row r="34" spans="1:44" s="14420" customFormat="1" ht="18.75" hidden="1" customHeight="1">
      <c r="A34" s="1245"/>
      <c r="B34" s="1245"/>
      <c r="C34" s="1245"/>
      <c r="D34" s="1245"/>
      <c r="E34" s="1245"/>
      <c r="F34" s="1245"/>
      <c r="G34" s="1245"/>
      <c r="H34" s="1245"/>
      <c r="I34" s="1245"/>
      <c r="J34" s="1245"/>
      <c r="K34" s="1245"/>
      <c r="L34" s="1246"/>
      <c r="M34" s="1245"/>
      <c r="N34" s="1245"/>
      <c r="O34" s="1245"/>
      <c r="S34" s="16116" t="s">
        <v>560</v>
      </c>
      <c r="T34" s="16116"/>
      <c r="U34" s="1249"/>
      <c r="V34" s="16126">
        <f>IF(TITLE_DATE_PR_CHANGE="",IF(TITLE_DATE_PR="","",TITLE_DATE_PR),TITLE_DATE_PR_CHANGE)</f>
        <v>45379</v>
      </c>
      <c r="W34" s="16126"/>
      <c r="X34" s="16126"/>
      <c r="Y34" s="16126"/>
      <c r="Z34" s="16126"/>
      <c r="AA34" s="16126"/>
      <c r="AB34" s="16126"/>
      <c r="AC34" s="243"/>
      <c r="AD34" s="16126">
        <f>IF(TITLE_DATE_PR_CHANGE="",IF(TITLE_DATE_PR="","",TITLE_DATE_PR),TITLE_DATE_PR_CHANGE)</f>
        <v>45379</v>
      </c>
      <c r="AE34" s="16126"/>
      <c r="AF34" s="16126"/>
      <c r="AG34" s="16126"/>
      <c r="AH34" s="16126"/>
      <c r="AI34" s="16126"/>
      <c r="AJ34" s="16126"/>
      <c r="AK34" s="243"/>
      <c r="AL34" s="243"/>
      <c r="AM34" s="198"/>
      <c r="AN34" s="283"/>
      <c r="AO34" s="283"/>
      <c r="AP34" s="283"/>
      <c r="AQ34" s="283"/>
      <c r="AR34" s="283"/>
    </row>
    <row r="35" spans="1:44" s="14420" customFormat="1" ht="25.5" hidden="1" customHeight="1">
      <c r="A35" s="1245"/>
      <c r="B35" s="1245"/>
      <c r="C35" s="1245"/>
      <c r="D35" s="1245"/>
      <c r="E35" s="1245"/>
      <c r="F35" s="1245"/>
      <c r="G35" s="1245"/>
      <c r="H35" s="1245"/>
      <c r="I35" s="1245"/>
      <c r="J35" s="1245"/>
      <c r="K35" s="1245"/>
      <c r="L35" s="1246"/>
      <c r="M35" s="1245"/>
      <c r="N35" s="1245"/>
      <c r="O35" s="1245"/>
      <c r="S35" s="16116" t="s">
        <v>561</v>
      </c>
      <c r="T35" s="16116"/>
      <c r="U35" s="1249"/>
      <c r="V35" s="16117" t="str">
        <f>IF(TITLE_NUMBER_PR_CHANGE="",IF(TITLE_NUMBER_PR="","",TITLE_NUMBER_PR),TITLE_NUMBER_PR_CHANGE)</f>
        <v>8/6</v>
      </c>
      <c r="W35" s="16117"/>
      <c r="X35" s="16117"/>
      <c r="Y35" s="16117"/>
      <c r="Z35" s="16117"/>
      <c r="AA35" s="16117"/>
      <c r="AB35" s="16117"/>
      <c r="AC35" s="243"/>
      <c r="AD35" s="16117" t="str">
        <f>IF(TITLE_NUMBER_PR_CHANGE="",IF(TITLE_NUMBER_PR="","",TITLE_NUMBER_PR),TITLE_NUMBER_PR_CHANGE)</f>
        <v>8/6</v>
      </c>
      <c r="AE35" s="16117"/>
      <c r="AF35" s="16117"/>
      <c r="AG35" s="16117"/>
      <c r="AH35" s="16117"/>
      <c r="AI35" s="16117"/>
      <c r="AJ35" s="16117"/>
      <c r="AK35" s="243"/>
      <c r="AL35" s="243"/>
      <c r="AM35" s="198"/>
      <c r="AN35" s="283"/>
      <c r="AO35" s="283"/>
      <c r="AP35" s="283"/>
      <c r="AQ35" s="283"/>
      <c r="AR35" s="283"/>
    </row>
    <row r="36" spans="1:44" s="14420" customFormat="1" ht="0" hidden="1" customHeight="1">
      <c r="A36" s="1245"/>
      <c r="B36" s="1245"/>
      <c r="C36" s="1245"/>
      <c r="D36" s="1245"/>
      <c r="E36" s="1245"/>
      <c r="F36" s="1245"/>
      <c r="G36" s="1245"/>
      <c r="H36" s="1245"/>
      <c r="I36" s="1245"/>
      <c r="J36" s="1245"/>
      <c r="K36" s="1245"/>
      <c r="L36" s="1246"/>
      <c r="M36" s="1245"/>
      <c r="N36" s="1245"/>
      <c r="O36" s="1245"/>
      <c r="S36" s="240"/>
      <c r="T36" s="240"/>
      <c r="U36" s="1218"/>
      <c r="V36" s="243"/>
      <c r="W36" s="243"/>
      <c r="X36" s="243"/>
      <c r="Y36" s="243"/>
      <c r="Z36" s="243"/>
      <c r="AA36" s="243"/>
      <c r="AB36" s="243"/>
      <c r="AC36" s="196" t="s">
        <v>562</v>
      </c>
      <c r="AD36" s="243"/>
      <c r="AE36" s="243"/>
      <c r="AF36" s="243"/>
      <c r="AG36" s="243"/>
      <c r="AH36" s="243"/>
      <c r="AI36" s="243"/>
      <c r="AJ36" s="243"/>
      <c r="AK36" s="196" t="s">
        <v>562</v>
      </c>
      <c r="AN36" s="283"/>
      <c r="AO36" s="283"/>
      <c r="AP36" s="283"/>
      <c r="AQ36" s="283"/>
      <c r="AR36" s="283"/>
    </row>
    <row r="37" spans="1:44" ht="14.25" customHeight="1">
      <c r="Q37" s="291"/>
      <c r="R37" s="291"/>
      <c r="S37" s="1157"/>
      <c r="T37" s="279"/>
      <c r="U37" s="1126"/>
      <c r="V37" s="16118"/>
      <c r="W37" s="16118"/>
      <c r="X37" s="16118"/>
      <c r="Y37" s="16118"/>
      <c r="Z37" s="16118"/>
      <c r="AA37" s="16118"/>
      <c r="AB37" s="16118"/>
      <c r="AC37" s="16118"/>
      <c r="AD37" s="16118"/>
      <c r="AE37" s="16118"/>
      <c r="AF37" s="16118"/>
      <c r="AG37" s="16118"/>
      <c r="AH37" s="16118"/>
      <c r="AI37" s="16118"/>
      <c r="AJ37" s="16118"/>
      <c r="AK37" s="16118"/>
    </row>
    <row r="38" spans="1:44" ht="14.25" customHeight="1">
      <c r="Q38" s="291"/>
      <c r="R38" s="291"/>
      <c r="S38" s="15992" t="s">
        <v>437</v>
      </c>
      <c r="T38" s="15992"/>
      <c r="U38" s="15992"/>
      <c r="V38" s="15992"/>
      <c r="W38" s="15992"/>
      <c r="X38" s="15992"/>
      <c r="Y38" s="15992"/>
      <c r="Z38" s="15992"/>
      <c r="AA38" s="15992"/>
      <c r="AB38" s="15992"/>
      <c r="AC38" s="15992"/>
      <c r="AD38" s="15992"/>
      <c r="AE38" s="15992"/>
      <c r="AF38" s="15992"/>
      <c r="AG38" s="15992"/>
      <c r="AH38" s="15992"/>
      <c r="AI38" s="15992"/>
      <c r="AJ38" s="15992"/>
      <c r="AK38" s="15992"/>
      <c r="AL38" s="15992"/>
      <c r="AM38" s="15992" t="s">
        <v>438</v>
      </c>
    </row>
    <row r="39" spans="1:44" ht="14.25" customHeight="1">
      <c r="Q39" s="291"/>
      <c r="R39" s="291"/>
      <c r="S39" s="16132" t="s">
        <v>87</v>
      </c>
      <c r="T39" s="16084" t="s">
        <v>563</v>
      </c>
      <c r="U39" s="218"/>
      <c r="V39" s="16133" t="s">
        <v>564</v>
      </c>
      <c r="W39" s="16134"/>
      <c r="X39" s="16134"/>
      <c r="Y39" s="16134"/>
      <c r="Z39" s="16134"/>
      <c r="AA39" s="16134"/>
      <c r="AB39" s="16135"/>
      <c r="AC39" s="16136" t="s">
        <v>565</v>
      </c>
      <c r="AD39" s="16133" t="s">
        <v>564</v>
      </c>
      <c r="AE39" s="16134"/>
      <c r="AF39" s="16134"/>
      <c r="AG39" s="16134"/>
      <c r="AH39" s="16134"/>
      <c r="AI39" s="16134"/>
      <c r="AJ39" s="16135"/>
      <c r="AK39" s="16136" t="s">
        <v>566</v>
      </c>
      <c r="AL39" s="16139" t="s">
        <v>567</v>
      </c>
      <c r="AM39" s="15992"/>
    </row>
    <row r="40" spans="1:44" ht="33.75" customHeight="1">
      <c r="Q40" s="291"/>
      <c r="R40" s="291"/>
      <c r="S40" s="16132"/>
      <c r="T40" s="16084"/>
      <c r="U40" s="919"/>
      <c r="V40" s="16055" t="s">
        <v>568</v>
      </c>
      <c r="W40" s="16142"/>
      <c r="X40" s="15963" t="s">
        <v>570</v>
      </c>
      <c r="Y40" s="15962"/>
      <c r="Z40" s="15963" t="s">
        <v>571</v>
      </c>
      <c r="AA40" s="15968"/>
      <c r="AB40" s="15962"/>
      <c r="AC40" s="16137"/>
      <c r="AD40" s="16055" t="s">
        <v>584</v>
      </c>
      <c r="AE40" s="16142"/>
      <c r="AF40" s="15963" t="s">
        <v>570</v>
      </c>
      <c r="AG40" s="15962"/>
      <c r="AH40" s="15963" t="s">
        <v>571</v>
      </c>
      <c r="AI40" s="15968"/>
      <c r="AJ40" s="15962"/>
      <c r="AK40" s="16137"/>
      <c r="AL40" s="16140"/>
      <c r="AM40" s="15992"/>
    </row>
    <row r="41" spans="1:44" ht="33.75" customHeight="1">
      <c r="A41" s="1247"/>
      <c r="B41" s="1247" t="s">
        <v>170</v>
      </c>
      <c r="C41" s="1247" t="s">
        <v>171</v>
      </c>
      <c r="D41" s="1247" t="s">
        <v>172</v>
      </c>
      <c r="E41" s="1241" t="s">
        <v>572</v>
      </c>
      <c r="F41" s="1241" t="s">
        <v>573</v>
      </c>
      <c r="G41" s="1241" t="s">
        <v>574</v>
      </c>
      <c r="H41" s="1241" t="s">
        <v>575</v>
      </c>
      <c r="I41" s="1241" t="s">
        <v>576</v>
      </c>
      <c r="J41" s="1241" t="s">
        <v>577</v>
      </c>
      <c r="K41" s="1241" t="s">
        <v>578</v>
      </c>
      <c r="L41" s="1241" t="s">
        <v>553</v>
      </c>
      <c r="Q41" s="291"/>
      <c r="R41" s="291"/>
      <c r="S41" s="16132"/>
      <c r="T41" s="16084"/>
      <c r="U41" s="219"/>
      <c r="V41" s="16103"/>
      <c r="W41" s="16143"/>
      <c r="X41" s="1104" t="s">
        <v>579</v>
      </c>
      <c r="Y41" s="1104" t="s">
        <v>580</v>
      </c>
      <c r="Z41" s="1216" t="s">
        <v>581</v>
      </c>
      <c r="AA41" s="16092" t="s">
        <v>582</v>
      </c>
      <c r="AB41" s="16094"/>
      <c r="AC41" s="16138"/>
      <c r="AD41" s="16103"/>
      <c r="AE41" s="16143"/>
      <c r="AF41" s="1104" t="s">
        <v>579</v>
      </c>
      <c r="AG41" s="1104" t="s">
        <v>580</v>
      </c>
      <c r="AH41" s="1216" t="s">
        <v>581</v>
      </c>
      <c r="AI41" s="16092" t="s">
        <v>582</v>
      </c>
      <c r="AJ41" s="16094"/>
      <c r="AK41" s="16138"/>
      <c r="AL41" s="16141"/>
      <c r="AM41" s="15992"/>
    </row>
    <row r="42" spans="1:44" s="14405" customFormat="1" ht="11.25" hidden="1" customHeight="1">
      <c r="A42" s="1247"/>
      <c r="B42" s="1247"/>
      <c r="C42" s="1247"/>
      <c r="D42" s="1247"/>
      <c r="E42" s="1247"/>
      <c r="F42" s="1247"/>
      <c r="G42" s="1247"/>
      <c r="H42" s="1247"/>
      <c r="I42" s="1247"/>
      <c r="J42" s="1247"/>
      <c r="K42" s="1247"/>
      <c r="L42" s="1241"/>
      <c r="M42" s="1239"/>
      <c r="N42" s="1239"/>
      <c r="O42" s="1239"/>
      <c r="P42" s="1128"/>
      <c r="Q42" s="1129"/>
      <c r="R42" s="1136">
        <v>1</v>
      </c>
      <c r="S42" s="1159" t="s">
        <v>147</v>
      </c>
      <c r="T42" s="1137" t="s">
        <v>102</v>
      </c>
      <c r="U42" s="1127" t="str">
        <f ca="1">OFFSET(U42,0,-1)</f>
        <v>2</v>
      </c>
      <c r="V42" s="1213">
        <f ca="1">OFFSET(V42,0,-1)+1</f>
        <v>3</v>
      </c>
      <c r="W42" s="1213"/>
      <c r="X42" s="1213">
        <f ca="1">OFFSET(X42,0,-1)+1</f>
        <v>1</v>
      </c>
      <c r="Y42" s="1213">
        <f ca="1">OFFSET(Y42,0,-1)+1</f>
        <v>2</v>
      </c>
      <c r="Z42" s="1213">
        <f ca="1">OFFSET(Z42,0,-1)+1</f>
        <v>3</v>
      </c>
      <c r="AA42" s="16131">
        <f ca="1">OFFSET(AA42,0,-1)+1</f>
        <v>4</v>
      </c>
      <c r="AB42" s="16131"/>
      <c r="AC42" s="1213">
        <f ca="1">OFFSET(AC42,0,-2)+1</f>
        <v>5</v>
      </c>
      <c r="AD42" s="1213">
        <f ca="1">OFFSET(AD42,0,-1)+1</f>
        <v>6</v>
      </c>
      <c r="AE42" s="1213"/>
      <c r="AF42" s="1213">
        <f ca="1">OFFSET(AF42,0,-1)+1</f>
        <v>1</v>
      </c>
      <c r="AG42" s="1213">
        <f ca="1">OFFSET(AG42,0,-1)+1</f>
        <v>2</v>
      </c>
      <c r="AH42" s="1213">
        <f ca="1">OFFSET(AH42,0,-1)+1</f>
        <v>3</v>
      </c>
      <c r="AI42" s="16131">
        <f ca="1">OFFSET(AI42,0,-1)+1</f>
        <v>4</v>
      </c>
      <c r="AJ42" s="16131"/>
      <c r="AK42" s="1213">
        <f ca="1">OFFSET(AK42,0,-2)+1</f>
        <v>5</v>
      </c>
      <c r="AL42" s="1127">
        <f ca="1">OFFSET(AL42,0,-1)</f>
        <v>5</v>
      </c>
      <c r="AM42" s="1213">
        <f ca="1">OFFSET(AM42,0,-1)+1</f>
        <v>6</v>
      </c>
      <c r="AN42" s="418"/>
      <c r="AO42" s="418"/>
      <c r="AP42" s="418"/>
      <c r="AQ42" s="418"/>
      <c r="AR42" s="418"/>
    </row>
    <row r="43" spans="1:44" ht="21" customHeight="1">
      <c r="A43" s="1240" t="s">
        <v>217</v>
      </c>
      <c r="B43" s="1240"/>
      <c r="C43" s="1240"/>
      <c r="D43" s="1240"/>
      <c r="E43" s="16124">
        <v>1</v>
      </c>
      <c r="F43" s="1240"/>
      <c r="G43" s="1240"/>
      <c r="H43" s="1240"/>
      <c r="I43" s="1240"/>
      <c r="J43" s="1240"/>
      <c r="K43" s="1240"/>
      <c r="L43" s="1241"/>
      <c r="M43" s="1242"/>
      <c r="N43" s="1242"/>
      <c r="O43" s="1242"/>
      <c r="P43" s="277"/>
      <c r="Q43" s="276"/>
      <c r="R43" s="271"/>
      <c r="S43" s="1214">
        <f>INDEX(PT_DIFFERENTIATION_NUM_NTAR,MATCH(A43,PT_DIFFERENTIATION_NTAR_ID,0))</f>
        <v>0</v>
      </c>
      <c r="T43" s="215" t="s">
        <v>158</v>
      </c>
      <c r="U43" s="217"/>
      <c r="V43" s="16110"/>
      <c r="W43" s="16111"/>
      <c r="X43" s="16111"/>
      <c r="Y43" s="16111"/>
      <c r="Z43" s="16111"/>
      <c r="AA43" s="16111"/>
      <c r="AB43" s="16111"/>
      <c r="AC43" s="16112"/>
      <c r="AD43" s="16110" t="str">
        <f>INDEX(PT_DIFFERENTIATION_NTAR,MATCH(A43,PT_DIFFERENTIATION_NTAR_ID,0))</f>
        <v/>
      </c>
      <c r="AE43" s="16111"/>
      <c r="AF43" s="16111"/>
      <c r="AG43" s="16111"/>
      <c r="AH43" s="16111"/>
      <c r="AI43" s="16111"/>
      <c r="AJ43" s="16111"/>
      <c r="AK43" s="16111"/>
      <c r="AL43" s="16112"/>
      <c r="AM43" s="114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07"/>
      <c r="AP43" s="407" t="str">
        <f t="shared" ref="AP43:AP57" si="1">IF(T43="","",T43)</f>
        <v>Наименование тарифа</v>
      </c>
      <c r="AQ43" s="407"/>
      <c r="AR43" s="407"/>
    </row>
    <row r="44" spans="1:44" ht="21" customHeight="1">
      <c r="A44" s="1240" t="s">
        <v>217</v>
      </c>
      <c r="B44" s="1240" t="s">
        <v>218</v>
      </c>
      <c r="C44" s="1240"/>
      <c r="D44" s="1240"/>
      <c r="E44" s="16125"/>
      <c r="F44" s="16124">
        <v>1</v>
      </c>
      <c r="G44" s="1240"/>
      <c r="H44" s="1240"/>
      <c r="I44" s="1240"/>
      <c r="J44" s="1240"/>
      <c r="K44" s="1240"/>
      <c r="L44" s="1241"/>
      <c r="M44" s="1242"/>
      <c r="N44" s="1242"/>
      <c r="O44" s="1242"/>
      <c r="P44" s="1210"/>
      <c r="Q44" s="268"/>
      <c r="R44" s="269"/>
      <c r="S44" s="1214" t="str">
        <f>INDEX(PT_DIFFERENTIATION_NUM_TER,MATCH(B44,PT_DIFFERENTIATION_TER_ID,0))</f>
        <v>.</v>
      </c>
      <c r="T44" s="225" t="s">
        <v>534</v>
      </c>
      <c r="U44" s="217"/>
      <c r="V44" s="16110"/>
      <c r="W44" s="16111"/>
      <c r="X44" s="16111"/>
      <c r="Y44" s="16111"/>
      <c r="Z44" s="16111"/>
      <c r="AA44" s="16111"/>
      <c r="AB44" s="16111"/>
      <c r="AC44" s="16112"/>
      <c r="AD44" s="16110" t="str">
        <f>INDEX(PT_DIFFERENTIATION_TER,MATCH(B44,PT_DIFFERENTIATION_TER_ID,0))</f>
        <v/>
      </c>
      <c r="AE44" s="16111"/>
      <c r="AF44" s="16111"/>
      <c r="AG44" s="16111"/>
      <c r="AH44" s="16111"/>
      <c r="AI44" s="16111"/>
      <c r="AJ44" s="16111"/>
      <c r="AK44" s="16111"/>
      <c r="AL44" s="16112"/>
      <c r="AM44" s="1140" t="s">
        <v>535</v>
      </c>
      <c r="AO44" s="407"/>
      <c r="AP44" s="407" t="str">
        <f t="shared" si="1"/>
        <v>Территория действия тарифа</v>
      </c>
      <c r="AQ44" s="407"/>
      <c r="AR44" s="407"/>
    </row>
    <row r="45" spans="1:44" ht="23.25" customHeight="1">
      <c r="A45" s="1240" t="s">
        <v>217</v>
      </c>
      <c r="B45" s="1240" t="s">
        <v>218</v>
      </c>
      <c r="C45" s="1240" t="s">
        <v>219</v>
      </c>
      <c r="D45" s="1240"/>
      <c r="E45" s="16125"/>
      <c r="F45" s="16125"/>
      <c r="G45" s="16124">
        <v>1</v>
      </c>
      <c r="H45" s="1240"/>
      <c r="I45" s="1240"/>
      <c r="J45" s="1240"/>
      <c r="K45" s="1240"/>
      <c r="L45" s="1241"/>
      <c r="M45" s="1242"/>
      <c r="N45" s="1242"/>
      <c r="O45" s="1242"/>
      <c r="P45" s="270"/>
      <c r="Q45" s="268"/>
      <c r="R45" s="269"/>
      <c r="S45" s="1214" t="str">
        <f>INDEX(PT_DIFFERENTIATION_NUM_CS,MATCH(C45,PT_DIFFERENTIATION_CS_ID,0))</f>
        <v>..</v>
      </c>
      <c r="T45" s="226" t="s">
        <v>536</v>
      </c>
      <c r="U45" s="217"/>
      <c r="V45" s="16110"/>
      <c r="W45" s="16111"/>
      <c r="X45" s="16111"/>
      <c r="Y45" s="16111"/>
      <c r="Z45" s="16111"/>
      <c r="AA45" s="16111"/>
      <c r="AB45" s="16111"/>
      <c r="AC45" s="16112"/>
      <c r="AD45" s="16110" t="str">
        <f>INDEX(PT_DIFFERENTIATION_CS,MATCH(C45,PT_DIFFERENTIATION_CS_ID,0))</f>
        <v/>
      </c>
      <c r="AE45" s="16111"/>
      <c r="AF45" s="16111"/>
      <c r="AG45" s="16111"/>
      <c r="AH45" s="16111"/>
      <c r="AI45" s="16111"/>
      <c r="AJ45" s="16111"/>
      <c r="AK45" s="16111"/>
      <c r="AL45" s="16112"/>
      <c r="AM45" s="1140" t="s">
        <v>537</v>
      </c>
      <c r="AO45" s="407"/>
      <c r="AP45" s="407" t="str">
        <f t="shared" si="1"/>
        <v xml:space="preserve">Наименование системы теплоснабжения </v>
      </c>
      <c r="AQ45" s="407"/>
      <c r="AR45" s="407"/>
    </row>
    <row r="46" spans="1:44" ht="21" customHeight="1">
      <c r="A46" s="1240" t="s">
        <v>217</v>
      </c>
      <c r="B46" s="1240" t="s">
        <v>218</v>
      </c>
      <c r="C46" s="1240" t="s">
        <v>219</v>
      </c>
      <c r="D46" s="1240" t="s">
        <v>220</v>
      </c>
      <c r="E46" s="16125"/>
      <c r="F46" s="16125"/>
      <c r="G46" s="16125"/>
      <c r="H46" s="16124">
        <v>1</v>
      </c>
      <c r="I46" s="1240"/>
      <c r="J46" s="1240"/>
      <c r="K46" s="1240"/>
      <c r="L46" s="1241"/>
      <c r="M46" s="1242"/>
      <c r="N46" s="1242"/>
      <c r="O46" s="1242"/>
      <c r="P46" s="270"/>
      <c r="Q46" s="268"/>
      <c r="R46" s="269"/>
      <c r="S46" s="1214" t="str">
        <f>INDEX(PT_DIFFERENTIATION_NUM_IST_TE,MATCH(D46,PT_DIFFERENTIATION_IST_TE_ID,0))</f>
        <v>...</v>
      </c>
      <c r="T46" s="227" t="s">
        <v>538</v>
      </c>
      <c r="U46" s="217"/>
      <c r="V46" s="16110"/>
      <c r="W46" s="16111"/>
      <c r="X46" s="16111"/>
      <c r="Y46" s="16111"/>
      <c r="Z46" s="16111"/>
      <c r="AA46" s="16111"/>
      <c r="AB46" s="16111"/>
      <c r="AC46" s="16112"/>
      <c r="AD46" s="16110" t="str">
        <f>INDEX(PT_DIFFERENTIATION_IST_TE,MATCH(D46,PT_DIFFERENTIATION_IST_TE_ID,0))</f>
        <v/>
      </c>
      <c r="AE46" s="16111"/>
      <c r="AF46" s="16111"/>
      <c r="AG46" s="16111"/>
      <c r="AH46" s="16111"/>
      <c r="AI46" s="16111"/>
      <c r="AJ46" s="16111"/>
      <c r="AK46" s="16111"/>
      <c r="AL46" s="16112"/>
      <c r="AM46" s="1140" t="s">
        <v>539</v>
      </c>
      <c r="AO46" s="407"/>
      <c r="AP46" s="407" t="str">
        <f t="shared" si="1"/>
        <v xml:space="preserve">Источник тепловой энергии  </v>
      </c>
      <c r="AQ46" s="407"/>
      <c r="AR46" s="407"/>
    </row>
    <row r="47" spans="1:44" s="14421" customFormat="1" ht="0" hidden="1" customHeight="1">
      <c r="A47" s="1221" t="s">
        <v>217</v>
      </c>
      <c r="B47" s="1221" t="s">
        <v>218</v>
      </c>
      <c r="C47" s="1221" t="s">
        <v>219</v>
      </c>
      <c r="D47" s="1221" t="s">
        <v>220</v>
      </c>
      <c r="E47" s="16125"/>
      <c r="F47" s="16125"/>
      <c r="G47" s="16125"/>
      <c r="H47" s="16125"/>
      <c r="I47" s="16122" t="str">
        <f>S46&amp;".1"</f>
        <v>....1</v>
      </c>
      <c r="J47" s="1221"/>
      <c r="K47" s="1221"/>
      <c r="L47" s="1224" t="s">
        <v>540</v>
      </c>
      <c r="M47" s="417"/>
      <c r="N47" s="417"/>
      <c r="O47" s="417"/>
      <c r="P47" s="16123">
        <v>1</v>
      </c>
      <c r="Q47" s="1209"/>
      <c r="R47" s="272"/>
      <c r="S47" s="930"/>
      <c r="T47" s="1260"/>
      <c r="U47" s="1261"/>
      <c r="V47" s="16153"/>
      <c r="W47" s="16154"/>
      <c r="X47" s="16154"/>
      <c r="Y47" s="16154"/>
      <c r="Z47" s="16154"/>
      <c r="AA47" s="16154"/>
      <c r="AB47" s="16154"/>
      <c r="AC47" s="16155"/>
      <c r="AD47" s="16153"/>
      <c r="AE47" s="16154"/>
      <c r="AF47" s="16154"/>
      <c r="AG47" s="16154"/>
      <c r="AH47" s="16154"/>
      <c r="AI47" s="16154"/>
      <c r="AJ47" s="16154"/>
      <c r="AK47" s="16154"/>
      <c r="AL47" s="16155"/>
      <c r="AM47" s="1262"/>
      <c r="AO47" s="407"/>
      <c r="AP47" s="407" t="str">
        <f t="shared" si="1"/>
        <v/>
      </c>
      <c r="AQ47" s="407"/>
      <c r="AR47" s="407"/>
    </row>
    <row r="48" spans="1:44" ht="21" customHeight="1">
      <c r="A48" s="1240" t="s">
        <v>217</v>
      </c>
      <c r="B48" s="1240" t="s">
        <v>218</v>
      </c>
      <c r="C48" s="1240" t="s">
        <v>219</v>
      </c>
      <c r="D48" s="1240" t="s">
        <v>220</v>
      </c>
      <c r="E48" s="16125"/>
      <c r="F48" s="16125"/>
      <c r="G48" s="16125"/>
      <c r="H48" s="16125"/>
      <c r="I48" s="16145"/>
      <c r="J48" s="16122" t="str">
        <f>S46&amp;".1"</f>
        <v>....1</v>
      </c>
      <c r="K48" s="1240"/>
      <c r="L48" s="1241" t="s">
        <v>543</v>
      </c>
      <c r="P48" s="16123"/>
      <c r="Q48" s="16123">
        <v>1</v>
      </c>
      <c r="R48" s="273"/>
      <c r="S48" s="1214" t="str">
        <f>$J48</f>
        <v>....1</v>
      </c>
      <c r="T48" s="203" t="s">
        <v>544</v>
      </c>
      <c r="U48" s="217"/>
      <c r="V48" s="16113"/>
      <c r="W48" s="16114"/>
      <c r="X48" s="16114"/>
      <c r="Y48" s="16114"/>
      <c r="Z48" s="16114"/>
      <c r="AA48" s="16114"/>
      <c r="AB48" s="16114"/>
      <c r="AC48" s="16115"/>
      <c r="AD48" s="16113"/>
      <c r="AE48" s="16114"/>
      <c r="AF48" s="16114"/>
      <c r="AG48" s="16114"/>
      <c r="AH48" s="16114"/>
      <c r="AI48" s="16114"/>
      <c r="AJ48" s="16114"/>
      <c r="AK48" s="16114"/>
      <c r="AL48" s="16115"/>
      <c r="AM48" s="1140" t="s">
        <v>545</v>
      </c>
      <c r="AO48" s="407"/>
      <c r="AP48" s="407" t="str">
        <f t="shared" si="1"/>
        <v>Группа потребителей</v>
      </c>
      <c r="AQ48" s="407"/>
      <c r="AR48" s="407"/>
    </row>
    <row r="49" spans="1:44" ht="21" customHeight="1">
      <c r="A49" s="1240" t="s">
        <v>217</v>
      </c>
      <c r="B49" s="1240" t="s">
        <v>218</v>
      </c>
      <c r="C49" s="1240" t="s">
        <v>219</v>
      </c>
      <c r="D49" s="1240" t="s">
        <v>220</v>
      </c>
      <c r="E49" s="16125"/>
      <c r="F49" s="16125"/>
      <c r="G49" s="16125"/>
      <c r="H49" s="16125"/>
      <c r="I49" s="16145"/>
      <c r="J49" s="16145"/>
      <c r="K49" s="16122" t="str">
        <f>J48&amp;".1"</f>
        <v>....1.1</v>
      </c>
      <c r="L49" s="1241" t="s">
        <v>546</v>
      </c>
      <c r="P49" s="16123"/>
      <c r="Q49" s="16123"/>
      <c r="R49" s="273">
        <v>1</v>
      </c>
      <c r="S49" s="1214" t="str">
        <f>$K49</f>
        <v>....1.1</v>
      </c>
      <c r="T49" s="1225"/>
      <c r="U49" s="217"/>
      <c r="V49" s="649"/>
      <c r="W49" s="242"/>
      <c r="X49" s="649"/>
      <c r="Y49" s="1139"/>
      <c r="Z49" s="16127"/>
      <c r="AA49" s="15973" t="s">
        <v>66</v>
      </c>
      <c r="AB49" s="16127"/>
      <c r="AC49" s="15973" t="s">
        <v>66</v>
      </c>
      <c r="AD49" s="649"/>
      <c r="AE49" s="242"/>
      <c r="AF49" s="649"/>
      <c r="AG49" s="1139"/>
      <c r="AH49" s="16127"/>
      <c r="AI49" s="15973" t="s">
        <v>66</v>
      </c>
      <c r="AJ49" s="16146"/>
      <c r="AK49" s="15973" t="s">
        <v>66</v>
      </c>
      <c r="AL49" s="1226"/>
      <c r="AM49" s="16119" t="s">
        <v>585</v>
      </c>
      <c r="AN49" s="418" t="e">
        <f ca="1">STRCHECKDATE(V50:AL50)</f>
        <v>#NAME?</v>
      </c>
      <c r="AO49" s="407"/>
      <c r="AP49" s="407" t="str">
        <f t="shared" si="1"/>
        <v/>
      </c>
      <c r="AQ49" s="407"/>
      <c r="AR49" s="407"/>
    </row>
    <row r="50" spans="1:44" ht="0" hidden="1" customHeight="1">
      <c r="A50" s="1240" t="s">
        <v>217</v>
      </c>
      <c r="B50" s="1240" t="s">
        <v>218</v>
      </c>
      <c r="C50" s="1240" t="s">
        <v>219</v>
      </c>
      <c r="D50" s="1240" t="s">
        <v>220</v>
      </c>
      <c r="E50" s="16125"/>
      <c r="F50" s="16125"/>
      <c r="G50" s="16125"/>
      <c r="H50" s="16125"/>
      <c r="I50" s="16145"/>
      <c r="J50" s="16145"/>
      <c r="K50" s="16122"/>
      <c r="L50" s="1241"/>
      <c r="P50" s="16123"/>
      <c r="Q50" s="16123"/>
      <c r="R50" s="273"/>
      <c r="S50" s="1220"/>
      <c r="T50" s="217"/>
      <c r="U50" s="217"/>
      <c r="V50" s="242"/>
      <c r="W50" s="242"/>
      <c r="X50" s="242"/>
      <c r="Y50" s="245" t="str">
        <f>Z49&amp;"-"&amp;AB49</f>
        <v>-</v>
      </c>
      <c r="Z50" s="16128"/>
      <c r="AA50" s="15973"/>
      <c r="AB50" s="16128"/>
      <c r="AC50" s="15973"/>
      <c r="AD50" s="242"/>
      <c r="AE50" s="242"/>
      <c r="AF50" s="242"/>
      <c r="AG50" s="245" t="str">
        <f>AH49&amp;"-"&amp;AJ49</f>
        <v>-</v>
      </c>
      <c r="AH50" s="16128"/>
      <c r="AI50" s="15973"/>
      <c r="AJ50" s="16147"/>
      <c r="AK50" s="15973"/>
      <c r="AL50" s="1227"/>
      <c r="AM50" s="16120"/>
      <c r="AO50" s="407"/>
      <c r="AP50" s="407" t="str">
        <f t="shared" si="1"/>
        <v/>
      </c>
      <c r="AQ50" s="407"/>
      <c r="AR50" s="407"/>
    </row>
    <row r="51" spans="1:44" ht="11.25" customHeight="1">
      <c r="A51" s="1240" t="s">
        <v>217</v>
      </c>
      <c r="B51" s="1240" t="s">
        <v>218</v>
      </c>
      <c r="C51" s="1240" t="s">
        <v>219</v>
      </c>
      <c r="D51" s="1240" t="s">
        <v>220</v>
      </c>
      <c r="E51" s="16125"/>
      <c r="F51" s="16125"/>
      <c r="G51" s="16125"/>
      <c r="H51" s="16125"/>
      <c r="I51" s="16145"/>
      <c r="J51" s="16122"/>
      <c r="K51" s="1240"/>
      <c r="L51" s="1241"/>
      <c r="P51" s="16123"/>
      <c r="Q51" s="16123"/>
      <c r="R51" s="272"/>
      <c r="S51" s="1160"/>
      <c r="T51" s="204" t="s">
        <v>548</v>
      </c>
      <c r="U51" s="282"/>
      <c r="V51" s="282"/>
      <c r="W51" s="282"/>
      <c r="X51" s="282"/>
      <c r="Y51" s="282"/>
      <c r="Z51" s="282"/>
      <c r="AA51" s="282"/>
      <c r="AB51" s="282"/>
      <c r="AC51" s="282"/>
      <c r="AD51" s="282"/>
      <c r="AE51" s="282"/>
      <c r="AF51" s="282"/>
      <c r="AG51" s="282"/>
      <c r="AH51" s="282"/>
      <c r="AI51" s="282"/>
      <c r="AJ51" s="282"/>
      <c r="AK51" s="282"/>
      <c r="AL51" s="241"/>
      <c r="AM51" s="16121"/>
      <c r="AO51" s="407"/>
      <c r="AP51" s="407" t="str">
        <f t="shared" si="1"/>
        <v>Добавить вид теплоносителя (параметры теплоносителя)</v>
      </c>
      <c r="AQ51" s="407"/>
      <c r="AR51" s="407"/>
    </row>
    <row r="52" spans="1:44" ht="11.25" customHeight="1">
      <c r="A52" s="1240" t="s">
        <v>217</v>
      </c>
      <c r="B52" s="1240" t="s">
        <v>218</v>
      </c>
      <c r="C52" s="1240" t="s">
        <v>219</v>
      </c>
      <c r="D52" s="1240" t="s">
        <v>220</v>
      </c>
      <c r="E52" s="16125"/>
      <c r="F52" s="16125"/>
      <c r="G52" s="16125"/>
      <c r="H52" s="16125"/>
      <c r="I52" s="16122"/>
      <c r="J52" s="1240"/>
      <c r="K52" s="1240"/>
      <c r="L52" s="1241"/>
      <c r="P52" s="16123"/>
      <c r="Q52" s="1209"/>
      <c r="R52" s="272"/>
      <c r="S52" s="1160"/>
      <c r="T52" s="280" t="s">
        <v>549</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0" t="s">
        <v>217</v>
      </c>
      <c r="B53" s="1240" t="s">
        <v>218</v>
      </c>
      <c r="C53" s="1240" t="s">
        <v>219</v>
      </c>
      <c r="D53" s="1240" t="s">
        <v>220</v>
      </c>
      <c r="E53" s="16125"/>
      <c r="F53" s="16125"/>
      <c r="G53" s="16125"/>
      <c r="H53" s="16124"/>
      <c r="I53" s="1240"/>
      <c r="J53" s="1240"/>
      <c r="K53" s="1240"/>
      <c r="L53" s="1241"/>
      <c r="M53" s="1242"/>
      <c r="N53" s="1242"/>
      <c r="O53" s="443"/>
      <c r="P53" s="276"/>
      <c r="Q53" s="290"/>
      <c r="R53" s="271"/>
      <c r="S53" s="1263"/>
      <c r="T53" s="1264"/>
      <c r="U53" s="1265"/>
      <c r="V53" s="1265"/>
      <c r="W53" s="1265"/>
      <c r="X53" s="1265"/>
      <c r="Y53" s="1265"/>
      <c r="Z53" s="1265"/>
      <c r="AA53" s="1265"/>
      <c r="AB53" s="1265"/>
      <c r="AC53" s="1265"/>
      <c r="AD53" s="1265"/>
      <c r="AE53" s="1265"/>
      <c r="AF53" s="1265"/>
      <c r="AG53" s="1265"/>
      <c r="AH53" s="1265"/>
      <c r="AI53" s="1265"/>
      <c r="AJ53" s="1265"/>
      <c r="AK53" s="1265"/>
      <c r="AL53" s="1265"/>
      <c r="AM53" s="1266"/>
      <c r="AO53" s="407"/>
      <c r="AP53" s="407" t="str">
        <f t="shared" si="1"/>
        <v/>
      </c>
      <c r="AQ53" s="407"/>
      <c r="AR53" s="407"/>
    </row>
    <row r="54" spans="1:44" s="14418" customFormat="1" ht="0" hidden="1" customHeight="1">
      <c r="A54" s="1221" t="s">
        <v>217</v>
      </c>
      <c r="B54" s="1221" t="s">
        <v>218</v>
      </c>
      <c r="C54" s="1221" t="s">
        <v>219</v>
      </c>
      <c r="D54" s="1193"/>
      <c r="E54" s="16125"/>
      <c r="F54" s="16125"/>
      <c r="G54" s="16124"/>
      <c r="H54" s="1193"/>
      <c r="I54" s="1193"/>
      <c r="J54" s="1193"/>
      <c r="K54" s="1193"/>
      <c r="L54" s="1217"/>
      <c r="M54" s="1194"/>
      <c r="N54" s="1194"/>
      <c r="P54" s="1195"/>
      <c r="Q54" s="1196"/>
      <c r="R54" s="1195"/>
      <c r="S54" s="1201"/>
      <c r="T54" s="1204" t="s">
        <v>551</v>
      </c>
      <c r="U54" s="1203"/>
      <c r="V54" s="1203"/>
      <c r="W54" s="1203"/>
      <c r="X54" s="1203"/>
      <c r="Y54" s="1203"/>
      <c r="Z54" s="1203"/>
      <c r="AA54" s="1203"/>
      <c r="AB54" s="1203"/>
      <c r="AC54" s="1203"/>
      <c r="AD54" s="1203"/>
      <c r="AE54" s="1203"/>
      <c r="AF54" s="1203"/>
      <c r="AG54" s="1203"/>
      <c r="AH54" s="1203"/>
      <c r="AI54" s="1203"/>
      <c r="AJ54" s="1203"/>
      <c r="AK54" s="1203"/>
      <c r="AL54" s="1203"/>
      <c r="AM54" s="1203"/>
      <c r="AO54" s="687"/>
      <c r="AP54" s="687" t="str">
        <f t="shared" si="1"/>
        <v>Добавить источник для дифференциации</v>
      </c>
      <c r="AQ54" s="687"/>
      <c r="AR54" s="687"/>
    </row>
    <row r="55" spans="1:44" s="14418" customFormat="1" ht="0" hidden="1" customHeight="1">
      <c r="A55" s="1221" t="s">
        <v>217</v>
      </c>
      <c r="B55" s="1221" t="s">
        <v>218</v>
      </c>
      <c r="C55" s="1193"/>
      <c r="D55" s="1193"/>
      <c r="E55" s="16125"/>
      <c r="F55" s="16124"/>
      <c r="G55" s="1193"/>
      <c r="H55" s="1193"/>
      <c r="I55" s="1193"/>
      <c r="J55" s="1193"/>
      <c r="K55" s="1193"/>
      <c r="L55" s="1217"/>
      <c r="M55" s="1200"/>
      <c r="N55" s="1200"/>
      <c r="P55" s="1195"/>
      <c r="Q55" s="1196"/>
      <c r="R55" s="1195"/>
      <c r="S55" s="1201"/>
      <c r="T55" s="1204" t="s">
        <v>290</v>
      </c>
      <c r="U55" s="1203"/>
      <c r="V55" s="1203"/>
      <c r="W55" s="1203"/>
      <c r="X55" s="1203"/>
      <c r="Y55" s="1203"/>
      <c r="Z55" s="1203"/>
      <c r="AA55" s="1203"/>
      <c r="AB55" s="1203"/>
      <c r="AC55" s="1203"/>
      <c r="AD55" s="1203"/>
      <c r="AE55" s="1203"/>
      <c r="AF55" s="1203"/>
      <c r="AG55" s="1203"/>
      <c r="AH55" s="1203"/>
      <c r="AI55" s="1203"/>
      <c r="AJ55" s="1203"/>
      <c r="AK55" s="1203"/>
      <c r="AL55" s="1203"/>
      <c r="AM55" s="1203"/>
      <c r="AO55" s="687"/>
      <c r="AP55" s="687" t="str">
        <f t="shared" si="1"/>
        <v>Добавить централизованную систему для дифференциации</v>
      </c>
      <c r="AQ55" s="687"/>
      <c r="AR55" s="687"/>
    </row>
    <row r="56" spans="1:44" s="14421" customFormat="1" ht="0" hidden="1" customHeight="1">
      <c r="A56" s="1221" t="s">
        <v>217</v>
      </c>
      <c r="B56" s="1221"/>
      <c r="C56" s="1221"/>
      <c r="D56" s="1221"/>
      <c r="E56" s="16124"/>
      <c r="F56" s="1221"/>
      <c r="G56" s="1221"/>
      <c r="H56" s="1221"/>
      <c r="I56" s="1221"/>
      <c r="J56" s="1221"/>
      <c r="K56" s="1221"/>
      <c r="L56" s="1224"/>
      <c r="M56" s="1200"/>
      <c r="N56" s="1200"/>
      <c r="O56" s="425"/>
      <c r="P56" s="295"/>
      <c r="Q56" s="1222"/>
      <c r="R56" s="295"/>
      <c r="S56" s="1201"/>
      <c r="T56" s="1204" t="s">
        <v>326</v>
      </c>
      <c r="U56" s="1203"/>
      <c r="V56" s="1203"/>
      <c r="W56" s="1203"/>
      <c r="X56" s="1203"/>
      <c r="Y56" s="1203"/>
      <c r="Z56" s="1203"/>
      <c r="AA56" s="1203"/>
      <c r="AB56" s="1203"/>
      <c r="AC56" s="1203"/>
      <c r="AD56" s="1203"/>
      <c r="AE56" s="1203"/>
      <c r="AF56" s="1203"/>
      <c r="AG56" s="1203"/>
      <c r="AH56" s="1203"/>
      <c r="AI56" s="1203"/>
      <c r="AJ56" s="1203"/>
      <c r="AK56" s="1203"/>
      <c r="AL56" s="1203"/>
      <c r="AM56" s="1203"/>
      <c r="AO56" s="407"/>
      <c r="AP56" s="407" t="str">
        <f t="shared" si="1"/>
        <v>Добавить территорию для дифференциации</v>
      </c>
      <c r="AQ56" s="407"/>
      <c r="AR56" s="407"/>
    </row>
    <row r="57" spans="1:44" s="14418" customFormat="1" ht="5.25" customHeight="1">
      <c r="A57" s="1193"/>
      <c r="B57" s="1193"/>
      <c r="C57" s="1193"/>
      <c r="D57" s="1193"/>
      <c r="E57" s="1221"/>
      <c r="F57" s="1193"/>
      <c r="G57" s="1193"/>
      <c r="H57" s="1193"/>
      <c r="I57" s="1193"/>
      <c r="J57" s="1193"/>
      <c r="K57" s="1193"/>
      <c r="L57" s="1217"/>
      <c r="M57" s="1200"/>
      <c r="N57" s="1200"/>
      <c r="P57" s="1195"/>
      <c r="Q57" s="1196"/>
      <c r="R57" s="1195"/>
      <c r="S57" s="1201"/>
      <c r="T57" s="1204" t="s">
        <v>390</v>
      </c>
      <c r="U57" s="1203"/>
      <c r="V57" s="1203"/>
      <c r="W57" s="1203"/>
      <c r="X57" s="1203"/>
      <c r="Y57" s="1203"/>
      <c r="Z57" s="1203"/>
      <c r="AA57" s="1203"/>
      <c r="AB57" s="1203"/>
      <c r="AC57" s="1203"/>
      <c r="AD57" s="1203"/>
      <c r="AE57" s="1203"/>
      <c r="AF57" s="1203"/>
      <c r="AG57" s="1203"/>
      <c r="AH57" s="1203"/>
      <c r="AI57" s="1203"/>
      <c r="AJ57" s="1203"/>
      <c r="AK57" s="1203"/>
      <c r="AL57" s="1203"/>
      <c r="AM57" s="1203"/>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5"/>
      <c r="T59" s="16144"/>
      <c r="U59" s="16144"/>
      <c r="V59" s="16144"/>
      <c r="W59" s="16144"/>
      <c r="X59" s="16144"/>
      <c r="Y59" s="16144"/>
      <c r="Z59" s="16144"/>
      <c r="AA59" s="16144"/>
      <c r="AB59" s="16144"/>
      <c r="AC59" s="16144"/>
      <c r="AD59" s="16144"/>
      <c r="AE59" s="16144"/>
      <c r="AF59" s="16144"/>
      <c r="AG59" s="16144"/>
      <c r="AH59" s="16144"/>
      <c r="AI59" s="16144"/>
      <c r="AJ59" s="16144"/>
      <c r="AK59" s="16144"/>
      <c r="AL59" s="16144"/>
      <c r="AM59" s="16144"/>
    </row>
    <row r="60" spans="1:44" ht="14.25" customHeight="1">
      <c r="O60" s="443"/>
      <c r="T60" s="16144"/>
      <c r="U60" s="16144"/>
      <c r="V60" s="16144"/>
      <c r="W60" s="16144"/>
      <c r="X60" s="16144"/>
      <c r="Y60" s="16144"/>
      <c r="Z60" s="16144"/>
      <c r="AA60" s="16144"/>
      <c r="AB60" s="16144"/>
      <c r="AC60" s="16144"/>
      <c r="AD60" s="16144"/>
      <c r="AE60" s="16144"/>
      <c r="AF60" s="16144"/>
      <c r="AG60" s="16144"/>
      <c r="AH60" s="16144"/>
      <c r="AI60" s="16144"/>
      <c r="AJ60" s="16144"/>
      <c r="AK60" s="16144"/>
      <c r="AL60" s="16144"/>
      <c r="AM60" s="16144"/>
    </row>
    <row r="61" spans="1:44" ht="14.25" customHeight="1">
      <c r="O61" s="443"/>
      <c r="T61" s="16144"/>
      <c r="U61" s="16144"/>
      <c r="V61" s="16144"/>
      <c r="W61" s="16144"/>
      <c r="X61" s="16144"/>
      <c r="Y61" s="16144"/>
      <c r="Z61" s="16144"/>
      <c r="AA61" s="16144"/>
      <c r="AB61" s="16144"/>
      <c r="AC61" s="16144"/>
      <c r="AD61" s="16144"/>
      <c r="AE61" s="16144"/>
      <c r="AF61" s="16144"/>
      <c r="AG61" s="16144"/>
      <c r="AH61" s="16144"/>
      <c r="AI61" s="16144"/>
      <c r="AJ61" s="16144"/>
      <c r="AK61" s="16144"/>
      <c r="AL61" s="16144"/>
      <c r="AM61" s="16144"/>
    </row>
    <row r="62" spans="1:44" ht="14.25" customHeight="1">
      <c r="O62" s="443"/>
    </row>
    <row r="63" spans="1:44" ht="14.25" customHeight="1">
      <c r="O63" s="443"/>
      <c r="S63" s="1135"/>
      <c r="T63" s="16037"/>
      <c r="U63" s="16144"/>
      <c r="V63" s="16144"/>
      <c r="W63" s="16144"/>
      <c r="X63" s="16144"/>
      <c r="Y63" s="16144"/>
      <c r="Z63" s="16144"/>
      <c r="AA63" s="16144"/>
      <c r="AB63" s="16144"/>
      <c r="AC63" s="16144"/>
      <c r="AD63" s="16144"/>
      <c r="AE63" s="16144"/>
      <c r="AF63" s="16144"/>
      <c r="AG63" s="16144"/>
      <c r="AH63" s="16144"/>
      <c r="AI63" s="16144"/>
      <c r="AJ63" s="16144"/>
      <c r="AK63" s="16144"/>
      <c r="AL63" s="16144"/>
      <c r="AM63" s="16144"/>
    </row>
    <row r="64" spans="1:44" ht="14.25" customHeight="1">
      <c r="O64" s="443"/>
      <c r="T64" s="16144"/>
      <c r="U64" s="16144"/>
      <c r="V64" s="16144"/>
      <c r="W64" s="16144"/>
      <c r="X64" s="16144"/>
      <c r="Y64" s="16144"/>
      <c r="Z64" s="16144"/>
      <c r="AA64" s="16144"/>
      <c r="AB64" s="16144"/>
      <c r="AC64" s="16144"/>
      <c r="AD64" s="16144"/>
      <c r="AE64" s="16144"/>
      <c r="AF64" s="16144"/>
      <c r="AG64" s="16144"/>
      <c r="AH64" s="16144"/>
      <c r="AI64" s="16144"/>
      <c r="AJ64" s="16144"/>
      <c r="AK64" s="16144"/>
      <c r="AL64" s="16144"/>
      <c r="AM64" s="16144"/>
    </row>
    <row r="65" spans="20:39" ht="14.25" customHeight="1">
      <c r="T65" s="16144"/>
      <c r="U65" s="16144"/>
      <c r="V65" s="16144"/>
      <c r="W65" s="16144"/>
      <c r="X65" s="16144"/>
      <c r="Y65" s="16144"/>
      <c r="Z65" s="16144"/>
      <c r="AA65" s="16144"/>
      <c r="AB65" s="16144"/>
      <c r="AC65" s="16144"/>
      <c r="AD65" s="16144"/>
      <c r="AE65" s="16144"/>
      <c r="AF65" s="16144"/>
      <c r="AG65" s="16144"/>
      <c r="AH65" s="16144"/>
      <c r="AI65" s="16144"/>
      <c r="AJ65" s="16144"/>
      <c r="AK65" s="16144"/>
      <c r="AL65" s="16144"/>
      <c r="AM65" s="1614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4427" hidden="1"/>
    <col min="2" max="2" width="11" style="14427" hidden="1" customWidth="1"/>
    <col min="3" max="3" width="10.5703125" style="14427" hidden="1"/>
    <col min="4" max="4" width="11.85546875" style="14427" hidden="1" customWidth="1"/>
    <col min="5" max="5" width="10" style="14427" hidden="1" customWidth="1"/>
    <col min="6" max="6" width="8.7109375" style="14427" hidden="1" customWidth="1"/>
    <col min="7" max="7" width="7.5703125" style="14427" hidden="1" customWidth="1"/>
    <col min="8" max="8" width="11.42578125" style="14427" hidden="1" customWidth="1"/>
    <col min="9" max="9" width="12" style="14427" hidden="1" customWidth="1"/>
    <col min="10" max="10" width="9.85546875" style="14427" hidden="1" customWidth="1"/>
    <col min="11" max="12" width="11.42578125" style="14427" hidden="1" customWidth="1"/>
    <col min="13" max="13" width="19.140625" style="14437" hidden="1" customWidth="1"/>
    <col min="14" max="15" width="12.28515625" style="14428" hidden="1" customWidth="1"/>
    <col min="16" max="16" width="23.42578125" style="14428" hidden="1" customWidth="1"/>
    <col min="17" max="17" width="3.7109375" style="14428" hidden="1" customWidth="1"/>
    <col min="18" max="20" width="3.7109375" style="14425" customWidth="1"/>
    <col min="21" max="21" width="12.7109375" style="14426" customWidth="1"/>
    <col min="22" max="22" width="32" style="14427" customWidth="1"/>
    <col min="23" max="23" width="0.140625" style="14427" customWidth="1"/>
    <col min="24" max="28" width="21.7109375" style="14427" hidden="1" customWidth="1"/>
    <col min="29" max="29" width="11.7109375" style="14427" hidden="1" customWidth="1"/>
    <col min="30" max="30" width="3.7109375" style="14427" hidden="1" customWidth="1"/>
    <col min="31" max="31" width="11.7109375" style="14427" hidden="1" customWidth="1"/>
    <col min="32" max="32" width="8.5703125" style="14427" hidden="1" customWidth="1"/>
    <col min="33" max="37" width="21.7109375" style="14427" customWidth="1"/>
    <col min="38" max="38" width="11.7109375" style="14427" customWidth="1"/>
    <col min="39" max="39" width="3.7109375" style="14427" customWidth="1"/>
    <col min="40" max="40" width="11.7109375" style="14427" customWidth="1"/>
    <col min="41" max="41" width="8.5703125" style="14427" customWidth="1"/>
    <col min="42" max="42" width="4.7109375" style="14427" customWidth="1"/>
    <col min="43" max="43" width="115.7109375" style="14427" customWidth="1"/>
    <col min="44" max="45" width="10.5703125" style="14421"/>
    <col min="46" max="46" width="11.140625" style="14421" customWidth="1"/>
    <col min="47" max="48" width="10.5703125" style="14421"/>
  </cols>
  <sheetData>
    <row r="1" spans="1:48" ht="14.25" hidden="1" customHeight="1">
      <c r="AB1" s="244"/>
      <c r="AC1" s="244"/>
      <c r="AK1" s="244"/>
      <c r="AL1" s="244"/>
    </row>
    <row r="2" spans="1:48" ht="21" hidden="1" customHeight="1">
      <c r="A2" s="1149"/>
      <c r="B2" s="1149"/>
      <c r="C2" s="1149"/>
      <c r="D2" s="1149"/>
      <c r="E2" s="16148">
        <v>1</v>
      </c>
      <c r="F2" s="1149"/>
      <c r="G2" s="1149"/>
      <c r="H2" s="1149"/>
      <c r="I2" s="1149"/>
      <c r="J2" s="1149"/>
      <c r="K2" s="1149"/>
      <c r="L2" s="1149"/>
      <c r="M2" s="1189"/>
      <c r="N2" s="589"/>
      <c r="O2" s="589"/>
      <c r="P2" s="589"/>
      <c r="Q2" s="277"/>
      <c r="R2" s="276"/>
      <c r="S2" s="276"/>
      <c r="T2" s="271"/>
      <c r="U2" s="1214" t="e">
        <f>INDEX(PT_DIFFERENTIATION_NUM_NTAR,MATCH(A2,PT_DIFFERENTIATION_NTAR_ID,0))</f>
        <v>#N/A</v>
      </c>
      <c r="V2" s="215" t="s">
        <v>158</v>
      </c>
      <c r="W2" s="217"/>
      <c r="X2" s="16110"/>
      <c r="Y2" s="16111"/>
      <c r="Z2" s="16111"/>
      <c r="AA2" s="16111"/>
      <c r="AB2" s="16111"/>
      <c r="AC2" s="16111"/>
      <c r="AD2" s="16111"/>
      <c r="AE2" s="16111"/>
      <c r="AF2" s="16112"/>
      <c r="AG2" s="16110" t="e">
        <f>INDEX(PT_DIFFERENTIATION_NTAR,MATCH(A2,PT_DIFFERENTIATION_NTAR_ID,0))</f>
        <v>#N/A</v>
      </c>
      <c r="AH2" s="16111"/>
      <c r="AI2" s="16111"/>
      <c r="AJ2" s="16111"/>
      <c r="AK2" s="16111"/>
      <c r="AL2" s="16111"/>
      <c r="AM2" s="16111"/>
      <c r="AN2" s="16111"/>
      <c r="AO2" s="16111"/>
      <c r="AP2" s="16112"/>
      <c r="AQ2" s="1140" t="s">
        <v>533</v>
      </c>
      <c r="AS2" s="407"/>
      <c r="AT2" s="407" t="str">
        <f t="shared" ref="AT2:AT8" si="0">IF(V2="","",V2)</f>
        <v>Наименование тарифа</v>
      </c>
      <c r="AU2" s="407"/>
      <c r="AV2" s="407"/>
    </row>
    <row r="3" spans="1:48" ht="21" hidden="1" customHeight="1">
      <c r="A3" s="1149"/>
      <c r="B3" s="1149"/>
      <c r="C3" s="1149"/>
      <c r="D3" s="1149"/>
      <c r="E3" s="16149"/>
      <c r="F3" s="16148">
        <v>1</v>
      </c>
      <c r="G3" s="1149"/>
      <c r="H3" s="1149"/>
      <c r="I3" s="1149"/>
      <c r="J3" s="1149"/>
      <c r="K3" s="1149"/>
      <c r="L3" s="1149"/>
      <c r="M3" s="1189"/>
      <c r="N3" s="589"/>
      <c r="O3" s="589"/>
      <c r="P3" s="589"/>
      <c r="Q3" s="1210"/>
      <c r="R3" s="268"/>
      <c r="S3" s="416"/>
      <c r="T3" s="269"/>
      <c r="U3" s="1214" t="e">
        <f>INDEX(PT_DIFFERENTIATION_NUM_TER,MATCH(B3,PT_DIFFERENTIATION_TER_ID,0))</f>
        <v>#N/A</v>
      </c>
      <c r="V3" s="225" t="s">
        <v>534</v>
      </c>
      <c r="W3" s="217"/>
      <c r="X3" s="16110"/>
      <c r="Y3" s="16111"/>
      <c r="Z3" s="16111"/>
      <c r="AA3" s="16111"/>
      <c r="AB3" s="16111"/>
      <c r="AC3" s="16111"/>
      <c r="AD3" s="16111"/>
      <c r="AE3" s="16111"/>
      <c r="AF3" s="16112"/>
      <c r="AG3" s="16110" t="e">
        <f>INDEX(PT_DIFFERENTIATION_TER,MATCH(B3,PT_DIFFERENTIATION_TER_ID,0))</f>
        <v>#N/A</v>
      </c>
      <c r="AH3" s="16111"/>
      <c r="AI3" s="16111"/>
      <c r="AJ3" s="16111"/>
      <c r="AK3" s="16111"/>
      <c r="AL3" s="16111"/>
      <c r="AM3" s="16111"/>
      <c r="AN3" s="16111"/>
      <c r="AO3" s="16111"/>
      <c r="AP3" s="16112"/>
      <c r="AQ3" s="1140" t="s">
        <v>535</v>
      </c>
      <c r="AS3" s="407"/>
      <c r="AT3" s="407" t="str">
        <f t="shared" si="0"/>
        <v>Территория действия тарифа</v>
      </c>
      <c r="AU3" s="407"/>
      <c r="AV3" s="407"/>
    </row>
    <row r="4" spans="1:48" ht="22.5" hidden="1" customHeight="1">
      <c r="A4" s="1149"/>
      <c r="B4" s="1149"/>
      <c r="C4" s="1149"/>
      <c r="D4" s="1149"/>
      <c r="E4" s="16149"/>
      <c r="F4" s="16149"/>
      <c r="G4" s="16148">
        <v>1</v>
      </c>
      <c r="H4" s="1149"/>
      <c r="I4" s="1149"/>
      <c r="J4" s="1149"/>
      <c r="K4" s="1149"/>
      <c r="L4" s="1149"/>
      <c r="M4" s="1189"/>
      <c r="N4" s="589"/>
      <c r="O4" s="589"/>
      <c r="P4" s="589"/>
      <c r="Q4" s="270"/>
      <c r="R4" s="268"/>
      <c r="S4" s="416"/>
      <c r="T4" s="269"/>
      <c r="U4" s="1214" t="e">
        <f>INDEX(PT_DIFFERENTIATION_NUM_CS,MATCH(C4,PT_DIFFERENTIATION_CS_ID,0))</f>
        <v>#N/A</v>
      </c>
      <c r="V4" s="226" t="s">
        <v>536</v>
      </c>
      <c r="W4" s="217"/>
      <c r="X4" s="16110"/>
      <c r="Y4" s="16111"/>
      <c r="Z4" s="16111"/>
      <c r="AA4" s="16111"/>
      <c r="AB4" s="16111"/>
      <c r="AC4" s="16111"/>
      <c r="AD4" s="16111"/>
      <c r="AE4" s="16111"/>
      <c r="AF4" s="16112"/>
      <c r="AG4" s="16110" t="e">
        <f>INDEX(PT_DIFFERENTIATION_CS,MATCH(C4,PT_DIFFERENTIATION_CS_ID,0))</f>
        <v>#N/A</v>
      </c>
      <c r="AH4" s="16111"/>
      <c r="AI4" s="16111"/>
      <c r="AJ4" s="16111"/>
      <c r="AK4" s="16111"/>
      <c r="AL4" s="16111"/>
      <c r="AM4" s="16111"/>
      <c r="AN4" s="16111"/>
      <c r="AO4" s="16111"/>
      <c r="AP4" s="16112"/>
      <c r="AQ4" s="1140" t="s">
        <v>537</v>
      </c>
      <c r="AS4" s="407"/>
      <c r="AT4" s="407" t="str">
        <f t="shared" si="0"/>
        <v xml:space="preserve">Наименование системы теплоснабжения </v>
      </c>
      <c r="AU4" s="407"/>
      <c r="AV4" s="407"/>
    </row>
    <row r="5" spans="1:48" ht="21" hidden="1" customHeight="1">
      <c r="A5" s="1149"/>
      <c r="B5" s="1149"/>
      <c r="C5" s="1149"/>
      <c r="D5" s="1149"/>
      <c r="E5" s="16149"/>
      <c r="F5" s="16149"/>
      <c r="G5" s="16149"/>
      <c r="H5" s="16148">
        <v>1</v>
      </c>
      <c r="I5" s="1149"/>
      <c r="J5" s="1149"/>
      <c r="K5" s="1149"/>
      <c r="L5" s="1149"/>
      <c r="M5" s="1189"/>
      <c r="N5" s="589"/>
      <c r="O5" s="589"/>
      <c r="P5" s="589"/>
      <c r="Q5" s="270"/>
      <c r="R5" s="268"/>
      <c r="S5" s="416"/>
      <c r="T5" s="269"/>
      <c r="U5" s="1214" t="e">
        <f>INDEX(PT_DIFFERENTIATION_NUM_IST_TE,MATCH(D5,PT_DIFFERENTIATION_IST_TE_ID,0))</f>
        <v>#N/A</v>
      </c>
      <c r="V5" s="227" t="s">
        <v>538</v>
      </c>
      <c r="W5" s="217"/>
      <c r="X5" s="16110"/>
      <c r="Y5" s="16111"/>
      <c r="Z5" s="16111"/>
      <c r="AA5" s="16111"/>
      <c r="AB5" s="16111"/>
      <c r="AC5" s="16111"/>
      <c r="AD5" s="16111"/>
      <c r="AE5" s="16111"/>
      <c r="AF5" s="16112"/>
      <c r="AG5" s="16110" t="e">
        <f>INDEX(PT_DIFFERENTIATION_IST_TE,MATCH(D5,PT_DIFFERENTIATION_IST_TE_ID,0))</f>
        <v>#N/A</v>
      </c>
      <c r="AH5" s="16111"/>
      <c r="AI5" s="16111"/>
      <c r="AJ5" s="16111"/>
      <c r="AK5" s="16111"/>
      <c r="AL5" s="16111"/>
      <c r="AM5" s="16111"/>
      <c r="AN5" s="16111"/>
      <c r="AO5" s="16111"/>
      <c r="AP5" s="16112"/>
      <c r="AQ5" s="1140" t="s">
        <v>539</v>
      </c>
      <c r="AS5" s="407"/>
      <c r="AT5" s="407" t="str">
        <f t="shared" si="0"/>
        <v xml:space="preserve">Источник тепловой энергии  </v>
      </c>
      <c r="AU5" s="407"/>
      <c r="AV5" s="407"/>
    </row>
    <row r="6" spans="1:48" ht="14.25" hidden="1" customHeight="1">
      <c r="A6" s="1149"/>
      <c r="B6" s="1149"/>
      <c r="C6" s="1149"/>
      <c r="D6" s="1149"/>
      <c r="E6" s="16149"/>
      <c r="F6" s="16149"/>
      <c r="G6" s="16149"/>
      <c r="H6" s="16149"/>
      <c r="I6" s="15992" t="e">
        <f>U5&amp;".1"</f>
        <v>#N/A</v>
      </c>
      <c r="J6" s="1149"/>
      <c r="K6" s="1149"/>
      <c r="L6" s="1149"/>
      <c r="M6" s="1189" t="s">
        <v>540</v>
      </c>
      <c r="N6" s="416"/>
      <c r="Q6" s="16123">
        <v>1</v>
      </c>
      <c r="R6" s="1209"/>
      <c r="S6" s="1209"/>
      <c r="T6" s="272"/>
      <c r="U6" s="930"/>
      <c r="V6" s="1260"/>
      <c r="W6" s="1261"/>
      <c r="X6" s="16153"/>
      <c r="Y6" s="16154"/>
      <c r="Z6" s="16154"/>
      <c r="AA6" s="16154"/>
      <c r="AB6" s="16154"/>
      <c r="AC6" s="16154"/>
      <c r="AD6" s="16154"/>
      <c r="AE6" s="16154"/>
      <c r="AF6" s="16155"/>
      <c r="AG6" s="16153"/>
      <c r="AH6" s="16154"/>
      <c r="AI6" s="16154"/>
      <c r="AJ6" s="16154"/>
      <c r="AK6" s="16154"/>
      <c r="AL6" s="16154"/>
      <c r="AM6" s="16154"/>
      <c r="AN6" s="16154"/>
      <c r="AO6" s="16154"/>
      <c r="AP6" s="16155"/>
      <c r="AQ6" s="1262"/>
      <c r="AS6" s="407"/>
      <c r="AT6" s="407" t="str">
        <f t="shared" si="0"/>
        <v/>
      </c>
      <c r="AU6" s="407"/>
      <c r="AV6" s="407"/>
    </row>
    <row r="7" spans="1:48" ht="21" hidden="1" customHeight="1">
      <c r="A7" s="1149"/>
      <c r="B7" s="1149"/>
      <c r="C7" s="1149"/>
      <c r="D7" s="1149"/>
      <c r="E7" s="16149"/>
      <c r="F7" s="16149"/>
      <c r="G7" s="16149"/>
      <c r="H7" s="16149"/>
      <c r="I7" s="15963"/>
      <c r="J7" s="15992" t="e">
        <f>I6&amp;".1"</f>
        <v>#N/A</v>
      </c>
      <c r="K7" s="1149"/>
      <c r="L7" s="1149"/>
      <c r="M7" s="1189" t="s">
        <v>543</v>
      </c>
      <c r="N7" s="416"/>
      <c r="O7" s="244"/>
      <c r="Q7" s="16123"/>
      <c r="R7" s="16123">
        <v>1</v>
      </c>
      <c r="S7" s="425"/>
      <c r="T7" s="273"/>
      <c r="U7" s="1214" t="e">
        <f>$J7</f>
        <v>#N/A</v>
      </c>
      <c r="V7" s="203" t="s">
        <v>544</v>
      </c>
      <c r="W7" s="217"/>
      <c r="X7" s="16113"/>
      <c r="Y7" s="16114"/>
      <c r="Z7" s="16114"/>
      <c r="AA7" s="16114"/>
      <c r="AB7" s="16114"/>
      <c r="AC7" s="16106"/>
      <c r="AD7" s="16106"/>
      <c r="AE7" s="16106"/>
      <c r="AF7" s="16156"/>
      <c r="AG7" s="16113"/>
      <c r="AH7" s="16114"/>
      <c r="AI7" s="16114"/>
      <c r="AJ7" s="16114"/>
      <c r="AK7" s="16114"/>
      <c r="AL7" s="16114"/>
      <c r="AM7" s="16114"/>
      <c r="AN7" s="16114"/>
      <c r="AO7" s="16114"/>
      <c r="AP7" s="16115"/>
      <c r="AQ7" s="1140" t="s">
        <v>545</v>
      </c>
      <c r="AS7" s="407"/>
      <c r="AT7" s="407" t="str">
        <f t="shared" si="0"/>
        <v>Группа потребителей</v>
      </c>
      <c r="AU7" s="407"/>
      <c r="AV7" s="407"/>
    </row>
    <row r="8" spans="1:48" ht="21" hidden="1" customHeight="1">
      <c r="A8" s="1149"/>
      <c r="B8" s="1149"/>
      <c r="C8" s="1149"/>
      <c r="D8" s="1149"/>
      <c r="E8" s="16149"/>
      <c r="F8" s="16149"/>
      <c r="G8" s="16149"/>
      <c r="H8" s="16149"/>
      <c r="I8" s="15963"/>
      <c r="J8" s="15963"/>
      <c r="K8" s="15992" t="e">
        <f>J7&amp;".1"</f>
        <v>#N/A</v>
      </c>
      <c r="L8" s="67"/>
      <c r="M8" s="1189" t="s">
        <v>546</v>
      </c>
      <c r="N8" s="416"/>
      <c r="O8" s="244"/>
      <c r="P8" s="244"/>
      <c r="Q8" s="16123"/>
      <c r="R8" s="16123"/>
      <c r="S8" s="16123">
        <v>1</v>
      </c>
      <c r="T8" s="273"/>
      <c r="U8" s="1214" t="e">
        <f>$K8</f>
        <v>#N/A</v>
      </c>
      <c r="V8" s="1225"/>
      <c r="W8" s="217"/>
      <c r="X8" s="649"/>
      <c r="Y8" s="649"/>
      <c r="Z8" s="649"/>
      <c r="AA8" s="649"/>
      <c r="AB8" s="1282"/>
      <c r="AC8" s="16127"/>
      <c r="AD8" s="15973" t="s">
        <v>66</v>
      </c>
      <c r="AE8" s="16127"/>
      <c r="AF8" s="15973" t="s">
        <v>66</v>
      </c>
      <c r="AG8" s="1284"/>
      <c r="AH8" s="649"/>
      <c r="AI8" s="649"/>
      <c r="AJ8" s="649"/>
      <c r="AK8" s="1139"/>
      <c r="AL8" s="16127"/>
      <c r="AM8" s="15973" t="s">
        <v>66</v>
      </c>
      <c r="AN8" s="16127"/>
      <c r="AO8" s="15973" t="s">
        <v>66</v>
      </c>
      <c r="AP8" s="242"/>
      <c r="AQ8" s="1187" t="s">
        <v>586</v>
      </c>
      <c r="AR8" s="418" t="e">
        <f ca="1">STRCHECKDATE(X10:AP10)</f>
        <v>#NAME?</v>
      </c>
      <c r="AS8" s="407"/>
      <c r="AT8" s="407" t="str">
        <f t="shared" si="0"/>
        <v/>
      </c>
      <c r="AU8" s="407"/>
      <c r="AV8" s="407"/>
    </row>
    <row r="9" spans="1:48" ht="21" hidden="1" customHeight="1">
      <c r="A9" s="1149"/>
      <c r="B9" s="1149"/>
      <c r="C9" s="1149"/>
      <c r="D9" s="1149"/>
      <c r="E9" s="16149"/>
      <c r="F9" s="16149"/>
      <c r="G9" s="16149"/>
      <c r="H9" s="16149"/>
      <c r="I9" s="15963"/>
      <c r="J9" s="15963"/>
      <c r="K9" s="15963"/>
      <c r="L9" s="15992" t="e">
        <f>K8&amp;".1"</f>
        <v>#N/A</v>
      </c>
      <c r="M9" s="1189"/>
      <c r="N9" s="416"/>
      <c r="O9" s="244"/>
      <c r="P9" s="244"/>
      <c r="Q9" s="16123"/>
      <c r="R9" s="16123"/>
      <c r="S9" s="16123"/>
      <c r="T9" s="273"/>
      <c r="U9" s="1214" t="e">
        <f>$L9</f>
        <v>#N/A</v>
      </c>
      <c r="V9" s="1268"/>
      <c r="W9" s="217"/>
      <c r="X9" s="242"/>
      <c r="Y9" s="649"/>
      <c r="Z9" s="649"/>
      <c r="AA9" s="649"/>
      <c r="AB9" s="1282"/>
      <c r="AC9" s="16128"/>
      <c r="AD9" s="15973"/>
      <c r="AE9" s="16128"/>
      <c r="AF9" s="15973"/>
      <c r="AG9" s="1284"/>
      <c r="AH9" s="649"/>
      <c r="AI9" s="649"/>
      <c r="AJ9" s="649"/>
      <c r="AK9" s="1139"/>
      <c r="AL9" s="16128"/>
      <c r="AM9" s="15973"/>
      <c r="AN9" s="16128"/>
      <c r="AO9" s="15973"/>
      <c r="AP9" s="242"/>
      <c r="AQ9" s="16119" t="s">
        <v>587</v>
      </c>
      <c r="AS9" s="407"/>
      <c r="AT9" s="407"/>
      <c r="AU9" s="407"/>
      <c r="AV9" s="407"/>
    </row>
    <row r="10" spans="1:48" ht="14.25" hidden="1" customHeight="1">
      <c r="A10" s="1149"/>
      <c r="B10" s="1149"/>
      <c r="C10" s="1149"/>
      <c r="D10" s="1149"/>
      <c r="E10" s="16149"/>
      <c r="F10" s="16149"/>
      <c r="G10" s="16149"/>
      <c r="H10" s="16149"/>
      <c r="I10" s="15963"/>
      <c r="J10" s="15963"/>
      <c r="K10" s="15963"/>
      <c r="L10" s="15992"/>
      <c r="M10" s="1189"/>
      <c r="N10" s="416"/>
      <c r="O10" s="244"/>
      <c r="P10" s="244"/>
      <c r="Q10" s="16123"/>
      <c r="R10" s="16123"/>
      <c r="S10" s="16123"/>
      <c r="T10" s="273"/>
      <c r="U10" s="1220"/>
      <c r="V10" s="217"/>
      <c r="W10" s="217"/>
      <c r="X10" s="242"/>
      <c r="Y10" s="242"/>
      <c r="Z10" s="242"/>
      <c r="AA10" s="242"/>
      <c r="AB10" s="1283" t="str">
        <f>AC8&amp;"-"&amp;AE8</f>
        <v>-</v>
      </c>
      <c r="AC10" s="16128"/>
      <c r="AD10" s="15973"/>
      <c r="AE10" s="16128"/>
      <c r="AF10" s="15973"/>
      <c r="AG10" s="1259"/>
      <c r="AH10" s="242"/>
      <c r="AI10" s="242"/>
      <c r="AJ10" s="242"/>
      <c r="AK10" s="245" t="str">
        <f>AL8&amp;"-"&amp;AN8</f>
        <v>-</v>
      </c>
      <c r="AL10" s="16128"/>
      <c r="AM10" s="15973"/>
      <c r="AN10" s="16128"/>
      <c r="AO10" s="15973"/>
      <c r="AP10" s="242"/>
      <c r="AQ10" s="16120"/>
      <c r="AS10" s="407"/>
      <c r="AT10" s="407" t="str">
        <f>IF(V10="","",V10)</f>
        <v/>
      </c>
      <c r="AU10" s="407"/>
      <c r="AV10" s="407"/>
    </row>
    <row r="11" spans="1:48" ht="11.25" hidden="1" customHeight="1">
      <c r="A11" s="1149"/>
      <c r="B11" s="1149"/>
      <c r="C11" s="1149"/>
      <c r="D11" s="1149"/>
      <c r="E11" s="16149"/>
      <c r="F11" s="16149"/>
      <c r="G11" s="16149"/>
      <c r="H11" s="16149"/>
      <c r="I11" s="15963"/>
      <c r="J11" s="15963"/>
      <c r="K11" s="15992"/>
      <c r="L11" s="1149"/>
      <c r="M11" s="1189"/>
      <c r="N11" s="416"/>
      <c r="O11" s="244"/>
      <c r="P11" s="244"/>
      <c r="Q11" s="16123"/>
      <c r="R11" s="16123"/>
      <c r="S11" s="16123"/>
      <c r="T11" s="273"/>
      <c r="U11" s="1160"/>
      <c r="V11" s="205" t="s">
        <v>588</v>
      </c>
      <c r="W11" s="1269"/>
      <c r="X11" s="1270"/>
      <c r="Y11" s="1270"/>
      <c r="Z11" s="1270"/>
      <c r="AA11" s="1270"/>
      <c r="AB11" s="1271"/>
      <c r="AC11" s="16128"/>
      <c r="AD11" s="15973"/>
      <c r="AE11" s="16128"/>
      <c r="AF11" s="15973"/>
      <c r="AG11" s="1270"/>
      <c r="AH11" s="1270"/>
      <c r="AI11" s="1270"/>
      <c r="AJ11" s="1270"/>
      <c r="AK11" s="1271"/>
      <c r="AL11" s="16128"/>
      <c r="AM11" s="15973"/>
      <c r="AN11" s="16128"/>
      <c r="AO11" s="15973"/>
      <c r="AP11" s="1272"/>
      <c r="AQ11" s="16120"/>
      <c r="AS11" s="407"/>
      <c r="AT11" s="407"/>
      <c r="AU11" s="407"/>
      <c r="AV11" s="407"/>
    </row>
    <row r="12" spans="1:48" ht="15" hidden="1" customHeight="1">
      <c r="A12" s="1149"/>
      <c r="B12" s="1149"/>
      <c r="C12" s="1149"/>
      <c r="D12" s="1149"/>
      <c r="E12" s="16149"/>
      <c r="F12" s="16149"/>
      <c r="G12" s="16149"/>
      <c r="H12" s="16149"/>
      <c r="I12" s="15963"/>
      <c r="J12" s="15992"/>
      <c r="K12" s="1149"/>
      <c r="L12" s="1149"/>
      <c r="M12" s="1189"/>
      <c r="N12" s="416"/>
      <c r="O12" s="244"/>
      <c r="Q12" s="16123"/>
      <c r="R12" s="16123"/>
      <c r="S12" s="1209"/>
      <c r="T12" s="272"/>
      <c r="U12" s="1160"/>
      <c r="V12" s="204" t="s">
        <v>548</v>
      </c>
      <c r="W12" s="282"/>
      <c r="X12" s="282"/>
      <c r="Y12" s="282"/>
      <c r="Z12" s="282"/>
      <c r="AA12" s="282"/>
      <c r="AB12" s="282"/>
      <c r="AC12" s="1285"/>
      <c r="AD12" s="1285"/>
      <c r="AE12" s="1285"/>
      <c r="AF12" s="1285"/>
      <c r="AG12" s="282"/>
      <c r="AH12" s="282"/>
      <c r="AI12" s="282"/>
      <c r="AJ12" s="282"/>
      <c r="AK12" s="282"/>
      <c r="AL12" s="282"/>
      <c r="AM12" s="282"/>
      <c r="AN12" s="282"/>
      <c r="AO12" s="282"/>
      <c r="AP12" s="241"/>
      <c r="AQ12" s="16121"/>
      <c r="AS12" s="407"/>
      <c r="AT12" s="407" t="str">
        <f t="shared" ref="AT12:AT17" si="1">IF(V12="","",V12)</f>
        <v>Добавить вид теплоносителя (параметры теплоносителя)</v>
      </c>
      <c r="AU12" s="407"/>
      <c r="AV12" s="407"/>
    </row>
    <row r="13" spans="1:48" ht="11.25" hidden="1" customHeight="1">
      <c r="A13" s="1149"/>
      <c r="B13" s="1149"/>
      <c r="C13" s="1149"/>
      <c r="D13" s="1149"/>
      <c r="E13" s="16149"/>
      <c r="F13" s="16149"/>
      <c r="G13" s="16149"/>
      <c r="H13" s="16149"/>
      <c r="I13" s="15992"/>
      <c r="J13" s="1149"/>
      <c r="K13" s="1149"/>
      <c r="L13" s="1149"/>
      <c r="M13" s="1189"/>
      <c r="N13" s="416"/>
      <c r="Q13" s="16123"/>
      <c r="R13" s="1209"/>
      <c r="S13" s="1209"/>
      <c r="T13" s="272"/>
      <c r="U13" s="1160"/>
      <c r="V13" s="280" t="s">
        <v>549</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49"/>
      <c r="B14" s="1149"/>
      <c r="C14" s="1149"/>
      <c r="D14" s="1149"/>
      <c r="E14" s="16149"/>
      <c r="F14" s="16149"/>
      <c r="G14" s="16149"/>
      <c r="H14" s="16148"/>
      <c r="I14" s="1149"/>
      <c r="J14" s="1149"/>
      <c r="K14" s="1149"/>
      <c r="L14" s="1149"/>
      <c r="M14" s="1189"/>
      <c r="N14" s="589"/>
      <c r="O14" s="589"/>
      <c r="P14" s="416"/>
      <c r="Q14" s="276"/>
      <c r="R14" s="290"/>
      <c r="S14" s="271"/>
      <c r="T14" s="276"/>
      <c r="U14" s="1263"/>
      <c r="V14" s="1264"/>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6"/>
      <c r="AS14" s="407"/>
      <c r="AT14" s="407" t="str">
        <f t="shared" si="1"/>
        <v/>
      </c>
      <c r="AU14" s="407"/>
      <c r="AV14" s="407"/>
    </row>
    <row r="15" spans="1:48" s="14418" customFormat="1" ht="14.25" hidden="1" customHeight="1">
      <c r="A15" s="1251"/>
      <c r="B15" s="1251"/>
      <c r="C15" s="1251"/>
      <c r="D15" s="1251"/>
      <c r="E15" s="16149"/>
      <c r="F15" s="16149"/>
      <c r="G15" s="16148"/>
      <c r="H15" s="1251"/>
      <c r="I15" s="1251"/>
      <c r="J15" s="1251"/>
      <c r="K15" s="1251"/>
      <c r="L15" s="1251"/>
      <c r="M15" s="1254"/>
      <c r="N15" s="1255"/>
      <c r="O15" s="1255"/>
      <c r="P15" s="267"/>
      <c r="Q15" s="1195"/>
      <c r="R15" s="1196"/>
      <c r="S15" s="1195"/>
      <c r="T15" s="1195"/>
      <c r="U15" s="1197"/>
      <c r="V15" s="1198" t="s">
        <v>551</v>
      </c>
      <c r="W15" s="1199"/>
      <c r="X15" s="1199"/>
      <c r="Y15" s="1199"/>
      <c r="Z15" s="1199"/>
      <c r="AA15" s="1199"/>
      <c r="AB15" s="1199"/>
      <c r="AC15" s="1199"/>
      <c r="AD15" s="1199"/>
      <c r="AE15" s="1199"/>
      <c r="AF15" s="1199"/>
      <c r="AG15" s="1199"/>
      <c r="AH15" s="1199"/>
      <c r="AI15" s="1199"/>
      <c r="AJ15" s="1199"/>
      <c r="AK15" s="1199"/>
      <c r="AL15" s="1199"/>
      <c r="AM15" s="1199"/>
      <c r="AN15" s="1199"/>
      <c r="AO15" s="1199"/>
      <c r="AP15" s="1199"/>
      <c r="AQ15" s="1199"/>
      <c r="AS15" s="687"/>
      <c r="AT15" s="687" t="str">
        <f t="shared" si="1"/>
        <v>Добавить источник для дифференциации</v>
      </c>
      <c r="AU15" s="687"/>
      <c r="AV15" s="687"/>
    </row>
    <row r="16" spans="1:48" s="14418" customFormat="1" ht="14.25" hidden="1" customHeight="1">
      <c r="A16" s="1251"/>
      <c r="B16" s="1251"/>
      <c r="C16" s="1251"/>
      <c r="D16" s="1251"/>
      <c r="E16" s="16149"/>
      <c r="F16" s="16148"/>
      <c r="G16" s="1251"/>
      <c r="H16" s="1251"/>
      <c r="I16" s="1251"/>
      <c r="J16" s="1251"/>
      <c r="K16" s="1251"/>
      <c r="L16" s="1251"/>
      <c r="M16" s="1254"/>
      <c r="N16" s="1256"/>
      <c r="O16" s="1256"/>
      <c r="P16" s="267"/>
      <c r="Q16" s="1195"/>
      <c r="R16" s="1196"/>
      <c r="S16" s="1195"/>
      <c r="T16" s="1195"/>
      <c r="U16" s="1201"/>
      <c r="V16" s="1202" t="s">
        <v>290</v>
      </c>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S16" s="687"/>
      <c r="AT16" s="687" t="str">
        <f t="shared" si="1"/>
        <v>Добавить централизованную систему для дифференциации</v>
      </c>
      <c r="AU16" s="687"/>
      <c r="AV16" s="687"/>
    </row>
    <row r="17" spans="1:48" s="14418" customFormat="1" ht="14.25" hidden="1" customHeight="1">
      <c r="A17" s="1251"/>
      <c r="B17" s="1251"/>
      <c r="C17" s="1251"/>
      <c r="D17" s="1251"/>
      <c r="E17" s="16148"/>
      <c r="F17" s="1251"/>
      <c r="G17" s="1251"/>
      <c r="H17" s="1251"/>
      <c r="I17" s="1251"/>
      <c r="J17" s="1251"/>
      <c r="K17" s="1251"/>
      <c r="L17" s="1251"/>
      <c r="M17" s="1254"/>
      <c r="N17" s="1256"/>
      <c r="O17" s="1256"/>
      <c r="P17" s="267"/>
      <c r="Q17" s="1195"/>
      <c r="R17" s="1196"/>
      <c r="S17" s="1195"/>
      <c r="T17" s="1195"/>
      <c r="U17" s="1201"/>
      <c r="V17" s="1204" t="s">
        <v>326</v>
      </c>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7"/>
      <c r="AH19" s="1237"/>
      <c r="AI19" s="1237"/>
      <c r="AJ19" s="1237"/>
      <c r="AK19" s="1238"/>
      <c r="AL19" s="16129"/>
      <c r="AM19" s="16130" t="s">
        <v>66</v>
      </c>
      <c r="AN19" s="16129"/>
      <c r="AO19" s="16130" t="s">
        <v>66</v>
      </c>
    </row>
    <row r="20" spans="1:48" ht="14.25" hidden="1" customHeight="1">
      <c r="AG20" s="1237"/>
      <c r="AH20" s="1237"/>
      <c r="AI20" s="1237"/>
      <c r="AJ20" s="1237"/>
      <c r="AK20" s="1238"/>
      <c r="AL20" s="16129"/>
      <c r="AM20" s="16130"/>
      <c r="AN20" s="16129"/>
      <c r="AO20" s="16130"/>
    </row>
    <row r="21" spans="1:48" ht="14.25" hidden="1" customHeight="1">
      <c r="AG21" s="1237"/>
      <c r="AH21" s="1237"/>
      <c r="AI21" s="1237"/>
      <c r="AJ21" s="1237"/>
      <c r="AK21" s="1238"/>
      <c r="AL21" s="16129"/>
      <c r="AM21" s="16130"/>
      <c r="AN21" s="16129"/>
      <c r="AO21" s="16130"/>
    </row>
    <row r="22" spans="1:48" ht="14.25" hidden="1" customHeight="1">
      <c r="AG22" s="1237"/>
      <c r="AH22" s="1237"/>
      <c r="AI22" s="1237"/>
      <c r="AJ22" s="1237"/>
      <c r="AK22" s="245" t="str">
        <f>AL19&amp;"-"&amp;AN19</f>
        <v>-</v>
      </c>
      <c r="AL22" s="16130"/>
      <c r="AM22" s="16130"/>
      <c r="AN22" s="16130"/>
      <c r="AO22" s="16130"/>
    </row>
    <row r="23" spans="1:48" ht="14.25" hidden="1" customHeight="1">
      <c r="AO23" s="244"/>
    </row>
    <row r="24" spans="1:48" s="14419" customFormat="1" ht="22.5" hidden="1" customHeight="1">
      <c r="A24" s="1036"/>
      <c r="B24" s="1036"/>
      <c r="C24" s="1036"/>
      <c r="D24" s="1036"/>
      <c r="E24" s="1036"/>
      <c r="F24" s="1036"/>
      <c r="G24" s="1036"/>
      <c r="H24" s="1036"/>
      <c r="I24" s="1036"/>
      <c r="J24" s="1036"/>
      <c r="K24" s="1036"/>
      <c r="L24" s="1036"/>
      <c r="M24" s="1205"/>
      <c r="N24" s="1206"/>
      <c r="O24" s="1206"/>
      <c r="P24" s="1223" t="s">
        <v>552</v>
      </c>
      <c r="Q24" s="1239"/>
      <c r="R24" s="1248"/>
      <c r="S24" s="1248"/>
      <c r="T24" s="1248"/>
      <c r="U24" s="629"/>
      <c r="AC24" s="1244"/>
      <c r="AE24" s="1244"/>
      <c r="AF24" s="1243"/>
      <c r="AL24" s="1244"/>
      <c r="AN24" s="1244"/>
      <c r="AO24" s="1243"/>
      <c r="AR24" s="418"/>
      <c r="AS24" s="418"/>
      <c r="AT24" s="418"/>
      <c r="AU24" s="418"/>
      <c r="AV24" s="418"/>
    </row>
    <row r="25" spans="1:48" s="14419" customFormat="1" ht="14.25" hidden="1" customHeight="1">
      <c r="A25" s="1036"/>
      <c r="B25" s="1036"/>
      <c r="C25" s="1036"/>
      <c r="D25" s="1036"/>
      <c r="E25" s="1036"/>
      <c r="F25" s="1036"/>
      <c r="G25" s="1036"/>
      <c r="H25" s="1036"/>
      <c r="I25" s="1036"/>
      <c r="J25" s="1036"/>
      <c r="K25" s="1036"/>
      <c r="L25" s="1036"/>
      <c r="M25" s="1205"/>
      <c r="N25" s="1206"/>
      <c r="O25" s="1206"/>
      <c r="P25" s="1206"/>
      <c r="Q25" s="1239"/>
      <c r="R25" s="1248"/>
      <c r="S25" s="1248"/>
      <c r="T25" s="1248"/>
      <c r="U25" s="629"/>
      <c r="AF25" s="1243"/>
      <c r="AO25" s="1243"/>
      <c r="AR25" s="418"/>
      <c r="AS25" s="418"/>
      <c r="AT25" s="418"/>
      <c r="AU25" s="418"/>
      <c r="AV25" s="418"/>
    </row>
    <row r="26" spans="1:48" s="14419" customFormat="1" ht="14.25" hidden="1" customHeight="1">
      <c r="A26" s="1036"/>
      <c r="B26" s="1036"/>
      <c r="C26" s="1036"/>
      <c r="D26" s="1036"/>
      <c r="E26" s="1036"/>
      <c r="F26" s="1036"/>
      <c r="G26" s="1036"/>
      <c r="H26" s="1036"/>
      <c r="I26" s="1036"/>
      <c r="J26" s="1036"/>
      <c r="K26" s="1036"/>
      <c r="L26" s="1036"/>
      <c r="M26" s="1205"/>
      <c r="N26" s="1206"/>
      <c r="O26" s="1206"/>
      <c r="P26" s="1189" t="s">
        <v>553</v>
      </c>
      <c r="Q26" s="1239"/>
      <c r="R26" s="1248"/>
      <c r="S26" s="1248"/>
      <c r="T26" s="1248"/>
      <c r="U26" s="629"/>
      <c r="V26" s="1041" t="s">
        <v>554</v>
      </c>
      <c r="AD26" s="108" t="s">
        <v>555</v>
      </c>
      <c r="AF26" s="108" t="s">
        <v>556</v>
      </c>
      <c r="AG26" s="1041" t="s">
        <v>554</v>
      </c>
      <c r="AM26" s="108" t="s">
        <v>557</v>
      </c>
      <c r="AO26" s="108" t="s">
        <v>556</v>
      </c>
      <c r="AR26" s="418"/>
      <c r="AS26" s="418"/>
      <c r="AT26" s="418"/>
      <c r="AU26" s="418"/>
      <c r="AV26" s="418"/>
    </row>
    <row r="27" spans="1:48" ht="14.25" hidden="1" customHeight="1">
      <c r="P27" s="1189"/>
    </row>
    <row r="28" spans="1:48" ht="14.25" hidden="1" customHeight="1">
      <c r="P28" s="1189"/>
    </row>
    <row r="29" spans="1:48" ht="14.25" customHeight="1">
      <c r="R29" s="291"/>
      <c r="S29" s="291"/>
      <c r="T29" s="291"/>
      <c r="U29" s="1157"/>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1610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6108"/>
      <c r="W30" s="16108"/>
      <c r="X30" s="16108"/>
      <c r="Y30" s="16108"/>
      <c r="Z30" s="16108"/>
      <c r="AA30" s="16108"/>
      <c r="AB30" s="16108"/>
      <c r="AC30" s="16108"/>
      <c r="AD30" s="16108"/>
      <c r="AE30" s="16108"/>
      <c r="AF30" s="16108"/>
      <c r="AG30" s="16108"/>
      <c r="AH30" s="16108"/>
      <c r="AI30" s="16108"/>
      <c r="AJ30" s="16108"/>
      <c r="AK30" s="16108"/>
      <c r="AL30" s="16108"/>
      <c r="AM30" s="16108"/>
      <c r="AN30" s="16108"/>
      <c r="AO30" s="1125"/>
    </row>
    <row r="31" spans="1:48" ht="14.25" customHeight="1">
      <c r="R31" s="291"/>
      <c r="S31" s="291"/>
      <c r="T31" s="291"/>
      <c r="U31" s="16056" t="str">
        <f>IF(org=0,"Не определено",org)</f>
        <v>АО "Мурманэнергосбыт"</v>
      </c>
      <c r="V31" s="16056"/>
      <c r="W31" s="16056"/>
      <c r="X31" s="16056"/>
      <c r="Y31" s="16056"/>
      <c r="Z31" s="16056"/>
      <c r="AA31" s="16056"/>
      <c r="AB31" s="16056"/>
      <c r="AC31" s="16056"/>
      <c r="AD31" s="16056"/>
      <c r="AE31" s="16056"/>
      <c r="AF31" s="16056"/>
      <c r="AG31" s="16056"/>
      <c r="AH31" s="16056"/>
      <c r="AI31" s="16056"/>
      <c r="AJ31" s="16056"/>
      <c r="AK31" s="16056"/>
      <c r="AL31" s="16056"/>
      <c r="AM31" s="16056"/>
      <c r="AN31" s="16056"/>
      <c r="AO31" s="1125"/>
    </row>
    <row r="32" spans="1:48" ht="14.25" customHeight="1">
      <c r="R32" s="291"/>
      <c r="S32" s="291"/>
      <c r="T32" s="291"/>
      <c r="U32" s="1157"/>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4420" customFormat="1" ht="25.5" customHeight="1">
      <c r="A33" s="1130"/>
      <c r="B33" s="1130"/>
      <c r="C33" s="1130"/>
      <c r="D33" s="1130"/>
      <c r="E33" s="1130"/>
      <c r="F33" s="1130"/>
      <c r="G33" s="1130"/>
      <c r="H33" s="1130"/>
      <c r="I33" s="1130"/>
      <c r="J33" s="1130"/>
      <c r="K33" s="1130"/>
      <c r="L33" s="1130"/>
      <c r="M33" s="1257"/>
      <c r="N33" s="1130"/>
      <c r="O33" s="1130"/>
      <c r="P33" s="1130"/>
      <c r="U33" s="16116" t="s">
        <v>38</v>
      </c>
      <c r="V33" s="16116"/>
      <c r="W33" s="1249"/>
      <c r="X33" s="16117" t="str">
        <f>IF(TITLE_NAME_OR_PR_CHANGE="",IF(TITLE_NAME_OR_PR="","",TITLE_NAME_OR_PR),TITLE_NAME_OR_PR_CHANGE)</f>
        <v>Комитет по тарифному регулированию Мурманской области</v>
      </c>
      <c r="Y33" s="16117"/>
      <c r="Z33" s="16117"/>
      <c r="AA33" s="16117"/>
      <c r="AB33" s="16117"/>
      <c r="AC33" s="16117"/>
      <c r="AD33" s="16117"/>
      <c r="AE33" s="16117"/>
      <c r="AF33" s="243"/>
      <c r="AG33" s="16117" t="str">
        <f>IF(TITLE_NAME_OR_PR_CHANGE="",IF(TITLE_NAME_OR_PR="","",TITLE_NAME_OR_PR),TITLE_NAME_OR_PR_CHANGE)</f>
        <v>Комитет по тарифному регулированию Мурманской области</v>
      </c>
      <c r="AH33" s="16117"/>
      <c r="AI33" s="16117"/>
      <c r="AJ33" s="16117"/>
      <c r="AK33" s="16117"/>
      <c r="AL33" s="16117"/>
      <c r="AM33" s="16117"/>
      <c r="AN33" s="16117"/>
      <c r="AO33" s="243"/>
      <c r="AP33" s="243"/>
      <c r="AQ33" s="198"/>
      <c r="AR33" s="283"/>
      <c r="AS33" s="283"/>
      <c r="AT33" s="283"/>
      <c r="AU33" s="283"/>
      <c r="AV33" s="283"/>
    </row>
    <row r="34" spans="1:48" s="14420" customFormat="1" ht="18.75" customHeight="1">
      <c r="A34" s="1130"/>
      <c r="B34" s="1130"/>
      <c r="C34" s="1130"/>
      <c r="D34" s="1130"/>
      <c r="E34" s="1130"/>
      <c r="F34" s="1130"/>
      <c r="G34" s="1130"/>
      <c r="H34" s="1130"/>
      <c r="I34" s="1130"/>
      <c r="J34" s="1130"/>
      <c r="K34" s="1130"/>
      <c r="L34" s="1130"/>
      <c r="M34" s="1257"/>
      <c r="N34" s="1130"/>
      <c r="O34" s="1130"/>
      <c r="P34" s="1130"/>
      <c r="U34" s="16116" t="s">
        <v>558</v>
      </c>
      <c r="V34" s="16116"/>
      <c r="W34" s="1249"/>
      <c r="X34" s="16126">
        <f>IF(TITLE_DATE_PR_CHANGE="",IF(TITLE_DATE_PR="","",TITLE_DATE_PR),TITLE_DATE_PR_CHANGE)</f>
        <v>45379</v>
      </c>
      <c r="Y34" s="16126"/>
      <c r="Z34" s="16126"/>
      <c r="AA34" s="16126"/>
      <c r="AB34" s="16126"/>
      <c r="AC34" s="16126"/>
      <c r="AD34" s="16126"/>
      <c r="AE34" s="16126"/>
      <c r="AF34" s="243"/>
      <c r="AG34" s="16126">
        <f>IF(TITLE_DATE_PR_CHANGE="",IF(TITLE_DATE_PR="","",TITLE_DATE_PR),TITLE_DATE_PR_CHANGE)</f>
        <v>45379</v>
      </c>
      <c r="AH34" s="16126"/>
      <c r="AI34" s="16126"/>
      <c r="AJ34" s="16126"/>
      <c r="AK34" s="16126"/>
      <c r="AL34" s="16126"/>
      <c r="AM34" s="16126"/>
      <c r="AN34" s="16126"/>
      <c r="AO34" s="243"/>
      <c r="AP34" s="243"/>
      <c r="AQ34" s="198"/>
      <c r="AR34" s="283"/>
      <c r="AS34" s="283"/>
      <c r="AT34" s="283"/>
      <c r="AU34" s="283"/>
      <c r="AV34" s="283"/>
    </row>
    <row r="35" spans="1:48" s="14420" customFormat="1" ht="18.75" customHeight="1">
      <c r="A35" s="1130"/>
      <c r="B35" s="1130"/>
      <c r="C35" s="1130"/>
      <c r="D35" s="1130"/>
      <c r="E35" s="1130"/>
      <c r="F35" s="1130"/>
      <c r="G35" s="1130"/>
      <c r="H35" s="1130"/>
      <c r="I35" s="1130"/>
      <c r="J35" s="1130"/>
      <c r="K35" s="1130"/>
      <c r="L35" s="1130"/>
      <c r="M35" s="1257"/>
      <c r="N35" s="1130"/>
      <c r="O35" s="1130"/>
      <c r="P35" s="1130"/>
      <c r="U35" s="16116" t="s">
        <v>559</v>
      </c>
      <c r="V35" s="16116"/>
      <c r="W35" s="1249"/>
      <c r="X35" s="16117" t="str">
        <f>IF(TITLE_NUMBER_PR_CHANGE="",IF(TITLE_NUMBER_PR="","",TITLE_NUMBER_PR),TITLE_NUMBER_PR_CHANGE)</f>
        <v>8/6</v>
      </c>
      <c r="Y35" s="16117"/>
      <c r="Z35" s="16117"/>
      <c r="AA35" s="16117"/>
      <c r="AB35" s="16117"/>
      <c r="AC35" s="16117"/>
      <c r="AD35" s="16117"/>
      <c r="AE35" s="16117"/>
      <c r="AF35" s="243"/>
      <c r="AG35" s="16117" t="str">
        <f>IF(TITLE_NUMBER_PR_CHANGE="",IF(TITLE_NUMBER_PR="","",TITLE_NUMBER_PR),TITLE_NUMBER_PR_CHANGE)</f>
        <v>8/6</v>
      </c>
      <c r="AH35" s="16117"/>
      <c r="AI35" s="16117"/>
      <c r="AJ35" s="16117"/>
      <c r="AK35" s="16117"/>
      <c r="AL35" s="16117"/>
      <c r="AM35" s="16117"/>
      <c r="AN35" s="16117"/>
      <c r="AO35" s="243"/>
      <c r="AP35" s="243"/>
      <c r="AQ35" s="198"/>
      <c r="AR35" s="283"/>
      <c r="AS35" s="283"/>
      <c r="AT35" s="283"/>
      <c r="AU35" s="283"/>
      <c r="AV35" s="283"/>
    </row>
    <row r="36" spans="1:48" s="14420" customFormat="1" ht="18.75" customHeight="1">
      <c r="A36" s="1130"/>
      <c r="B36" s="1130"/>
      <c r="C36" s="1130"/>
      <c r="D36" s="1130"/>
      <c r="E36" s="1130"/>
      <c r="F36" s="1130"/>
      <c r="G36" s="1130"/>
      <c r="H36" s="1130"/>
      <c r="I36" s="1130"/>
      <c r="J36" s="1130"/>
      <c r="K36" s="1130"/>
      <c r="L36" s="1130"/>
      <c r="M36" s="1257"/>
      <c r="N36" s="1130"/>
      <c r="O36" s="1130"/>
      <c r="P36" s="1130"/>
      <c r="U36" s="16116" t="s">
        <v>40</v>
      </c>
      <c r="V36" s="16116"/>
      <c r="W36" s="1249"/>
      <c r="X36" s="16117" t="str">
        <f>IF(TITLE_IST_PUB_CHANGE="",IF(TITLE_IST_PUB="","",TITLE_IST_PUB),TITLE_IST_PUB_CHANGE)</f>
        <v>https://npa.gov-murman.ru/bitrix/components/b1team/govmurman.element.file/download.php?ID=518761&amp;FID=765125</v>
      </c>
      <c r="Y36" s="16117"/>
      <c r="Z36" s="16117"/>
      <c r="AA36" s="16117"/>
      <c r="AB36" s="16117"/>
      <c r="AC36" s="16117"/>
      <c r="AD36" s="16117"/>
      <c r="AE36" s="16117"/>
      <c r="AF36" s="243"/>
      <c r="AG36" s="16117" t="str">
        <f>IF(TITLE_IST_PUB_CHANGE="",IF(TITLE_IST_PUB="","",TITLE_IST_PUB),TITLE_IST_PUB_CHANGE)</f>
        <v>https://npa.gov-murman.ru/bitrix/components/b1team/govmurman.element.file/download.php?ID=518761&amp;FID=765125</v>
      </c>
      <c r="AH36" s="16117"/>
      <c r="AI36" s="16117"/>
      <c r="AJ36" s="16117"/>
      <c r="AK36" s="16117"/>
      <c r="AL36" s="16117"/>
      <c r="AM36" s="16117"/>
      <c r="AN36" s="16117"/>
      <c r="AO36" s="243"/>
      <c r="AP36" s="243"/>
      <c r="AQ36" s="198"/>
      <c r="AR36" s="283"/>
      <c r="AS36" s="283"/>
      <c r="AT36" s="283"/>
      <c r="AU36" s="283"/>
      <c r="AV36" s="283"/>
    </row>
    <row r="37" spans="1:48" ht="14.25" hidden="1" customHeight="1">
      <c r="R37" s="291"/>
      <c r="S37" s="291"/>
      <c r="T37" s="291"/>
      <c r="U37" s="1157"/>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4420" customFormat="1" ht="18.75" hidden="1" customHeight="1">
      <c r="A38" s="1130"/>
      <c r="B38" s="1130"/>
      <c r="C38" s="1130"/>
      <c r="D38" s="1130"/>
      <c r="E38" s="1130"/>
      <c r="F38" s="1130"/>
      <c r="G38" s="1130"/>
      <c r="H38" s="1130"/>
      <c r="I38" s="1130"/>
      <c r="J38" s="1130"/>
      <c r="K38" s="1130"/>
      <c r="L38" s="1130"/>
      <c r="M38" s="1257"/>
      <c r="N38" s="1130"/>
      <c r="O38" s="1130"/>
      <c r="P38" s="1130"/>
      <c r="U38" s="16116" t="s">
        <v>560</v>
      </c>
      <c r="V38" s="16116"/>
      <c r="W38" s="1249"/>
      <c r="X38" s="16126">
        <f>IF(TITLE_DATE_PR_CHANGE="",IF(TITLE_DATE_PR="","",TITLE_DATE_PR),TITLE_DATE_PR_CHANGE)</f>
        <v>45379</v>
      </c>
      <c r="Y38" s="16126"/>
      <c r="Z38" s="16126"/>
      <c r="AA38" s="16126"/>
      <c r="AB38" s="16126"/>
      <c r="AC38" s="16126"/>
      <c r="AD38" s="16126"/>
      <c r="AE38" s="16126"/>
      <c r="AF38" s="243"/>
      <c r="AG38" s="16126">
        <f>IF(TITLE_DATE_PR_CHANGE="",IF(TITLE_DATE_PR="","",TITLE_DATE_PR),TITLE_DATE_PR_CHANGE)</f>
        <v>45379</v>
      </c>
      <c r="AH38" s="16126"/>
      <c r="AI38" s="16126"/>
      <c r="AJ38" s="16126"/>
      <c r="AK38" s="16126"/>
      <c r="AL38" s="16126"/>
      <c r="AM38" s="16126"/>
      <c r="AN38" s="16126"/>
      <c r="AO38" s="243"/>
      <c r="AP38" s="243"/>
      <c r="AQ38" s="198"/>
      <c r="AR38" s="283"/>
      <c r="AS38" s="283"/>
      <c r="AT38" s="283"/>
      <c r="AU38" s="283"/>
      <c r="AV38" s="283"/>
    </row>
    <row r="39" spans="1:48" s="14420" customFormat="1" ht="18.75" hidden="1" customHeight="1">
      <c r="A39" s="1130"/>
      <c r="B39" s="1130"/>
      <c r="C39" s="1130"/>
      <c r="D39" s="1130"/>
      <c r="E39" s="1130"/>
      <c r="F39" s="1130"/>
      <c r="G39" s="1130"/>
      <c r="H39" s="1130"/>
      <c r="I39" s="1130"/>
      <c r="J39" s="1130"/>
      <c r="K39" s="1130"/>
      <c r="L39" s="1130"/>
      <c r="M39" s="1257"/>
      <c r="N39" s="1130"/>
      <c r="O39" s="1130"/>
      <c r="P39" s="1130"/>
      <c r="U39" s="16116" t="s">
        <v>561</v>
      </c>
      <c r="V39" s="16116"/>
      <c r="W39" s="1249"/>
      <c r="X39" s="16117" t="str">
        <f>IF(TITLE_NUMBER_PR_CHANGE="",IF(TITLE_NUMBER_PR="","",TITLE_NUMBER_PR),TITLE_NUMBER_PR_CHANGE)</f>
        <v>8/6</v>
      </c>
      <c r="Y39" s="16117"/>
      <c r="Z39" s="16117"/>
      <c r="AA39" s="16117"/>
      <c r="AB39" s="16117"/>
      <c r="AC39" s="16117"/>
      <c r="AD39" s="16117"/>
      <c r="AE39" s="16117"/>
      <c r="AF39" s="243"/>
      <c r="AG39" s="16117" t="str">
        <f>IF(TITLE_NUMBER_PR_CHANGE="",IF(TITLE_NUMBER_PR="","",TITLE_NUMBER_PR),TITLE_NUMBER_PR_CHANGE)</f>
        <v>8/6</v>
      </c>
      <c r="AH39" s="16117"/>
      <c r="AI39" s="16117"/>
      <c r="AJ39" s="16117"/>
      <c r="AK39" s="16117"/>
      <c r="AL39" s="16117"/>
      <c r="AM39" s="16117"/>
      <c r="AN39" s="16117"/>
      <c r="AO39" s="243"/>
      <c r="AP39" s="243"/>
      <c r="AQ39" s="198"/>
      <c r="AR39" s="283"/>
      <c r="AS39" s="283"/>
      <c r="AT39" s="283"/>
      <c r="AU39" s="283"/>
      <c r="AV39" s="283"/>
    </row>
    <row r="40" spans="1:48" s="14420" customFormat="1" ht="0" hidden="1" customHeight="1">
      <c r="A40" s="1130"/>
      <c r="B40" s="1130"/>
      <c r="C40" s="1130"/>
      <c r="D40" s="1130"/>
      <c r="E40" s="1130"/>
      <c r="F40" s="1130"/>
      <c r="G40" s="1130"/>
      <c r="H40" s="1130"/>
      <c r="I40" s="1130"/>
      <c r="J40" s="1130"/>
      <c r="K40" s="1130"/>
      <c r="L40" s="1130"/>
      <c r="M40" s="1257"/>
      <c r="N40" s="1130"/>
      <c r="O40" s="1130"/>
      <c r="P40" s="1130"/>
      <c r="U40" s="240"/>
      <c r="V40" s="240"/>
      <c r="W40" s="1218"/>
      <c r="X40" s="243"/>
      <c r="Y40" s="243"/>
      <c r="Z40" s="243"/>
      <c r="AA40" s="243"/>
      <c r="AB40" s="243"/>
      <c r="AC40" s="243"/>
      <c r="AD40" s="243"/>
      <c r="AE40" s="243"/>
      <c r="AF40" s="196" t="s">
        <v>562</v>
      </c>
      <c r="AG40" s="243"/>
      <c r="AH40" s="243"/>
      <c r="AI40" s="243"/>
      <c r="AJ40" s="243"/>
      <c r="AK40" s="243"/>
      <c r="AL40" s="243"/>
      <c r="AM40" s="243"/>
      <c r="AN40" s="243"/>
      <c r="AO40" s="196" t="s">
        <v>562</v>
      </c>
      <c r="AR40" s="283"/>
      <c r="AS40" s="283"/>
      <c r="AT40" s="283"/>
      <c r="AU40" s="283"/>
      <c r="AV40" s="283"/>
    </row>
    <row r="41" spans="1:48" ht="14.25" customHeight="1">
      <c r="R41" s="291"/>
      <c r="S41" s="291"/>
      <c r="T41" s="291"/>
      <c r="U41" s="1157"/>
      <c r="V41" s="279"/>
      <c r="W41" s="1126"/>
      <c r="X41" s="16118"/>
      <c r="Y41" s="16118"/>
      <c r="Z41" s="16118"/>
      <c r="AA41" s="16118"/>
      <c r="AB41" s="16118"/>
      <c r="AC41" s="16118"/>
      <c r="AD41" s="16118"/>
      <c r="AE41" s="16118"/>
      <c r="AF41" s="16118"/>
      <c r="AG41" s="16118"/>
      <c r="AH41" s="16118"/>
      <c r="AI41" s="16118"/>
      <c r="AJ41" s="16118"/>
      <c r="AK41" s="16118"/>
      <c r="AL41" s="16118"/>
      <c r="AM41" s="16118"/>
      <c r="AN41" s="16118"/>
      <c r="AO41" s="16118"/>
    </row>
    <row r="42" spans="1:48" ht="14.25" customHeight="1">
      <c r="R42" s="291"/>
      <c r="S42" s="291"/>
      <c r="T42" s="291"/>
      <c r="U42" s="15992" t="s">
        <v>437</v>
      </c>
      <c r="V42" s="15992"/>
      <c r="W42" s="15992"/>
      <c r="X42" s="15992"/>
      <c r="Y42" s="15992"/>
      <c r="Z42" s="15992"/>
      <c r="AA42" s="15992"/>
      <c r="AB42" s="15992"/>
      <c r="AC42" s="15992"/>
      <c r="AD42" s="15992"/>
      <c r="AE42" s="15992"/>
      <c r="AF42" s="15992"/>
      <c r="AG42" s="15992"/>
      <c r="AH42" s="15992"/>
      <c r="AI42" s="15992"/>
      <c r="AJ42" s="15992"/>
      <c r="AK42" s="15992"/>
      <c r="AL42" s="15992"/>
      <c r="AM42" s="15992"/>
      <c r="AN42" s="15992"/>
      <c r="AO42" s="15992"/>
      <c r="AP42" s="15992"/>
      <c r="AQ42" s="15992" t="s">
        <v>438</v>
      </c>
    </row>
    <row r="43" spans="1:48" ht="14.25" customHeight="1">
      <c r="R43" s="291"/>
      <c r="S43" s="291"/>
      <c r="T43" s="291"/>
      <c r="U43" s="16132" t="s">
        <v>87</v>
      </c>
      <c r="V43" s="16084" t="s">
        <v>563</v>
      </c>
      <c r="W43" s="218"/>
      <c r="X43" s="16133" t="s">
        <v>564</v>
      </c>
      <c r="Y43" s="16150"/>
      <c r="Z43" s="16150"/>
      <c r="AA43" s="16150"/>
      <c r="AB43" s="16150"/>
      <c r="AC43" s="16134"/>
      <c r="AD43" s="16134"/>
      <c r="AE43" s="16135"/>
      <c r="AF43" s="16136" t="s">
        <v>565</v>
      </c>
      <c r="AG43" s="16133" t="s">
        <v>564</v>
      </c>
      <c r="AH43" s="16150"/>
      <c r="AI43" s="16150"/>
      <c r="AJ43" s="16150"/>
      <c r="AK43" s="16150"/>
      <c r="AL43" s="16134"/>
      <c r="AM43" s="16134"/>
      <c r="AN43" s="16135"/>
      <c r="AO43" s="16136" t="s">
        <v>566</v>
      </c>
      <c r="AP43" s="16139" t="s">
        <v>567</v>
      </c>
      <c r="AQ43" s="15992"/>
    </row>
    <row r="44" spans="1:48" ht="33.75" customHeight="1">
      <c r="R44" s="291"/>
      <c r="S44" s="291"/>
      <c r="T44" s="291"/>
      <c r="U44" s="16132"/>
      <c r="V44" s="16084"/>
      <c r="W44" s="919"/>
      <c r="X44" s="16070" t="s">
        <v>589</v>
      </c>
      <c r="Y44" s="15992" t="s">
        <v>590</v>
      </c>
      <c r="Z44" s="15992"/>
      <c r="AA44" s="15992"/>
      <c r="AB44" s="15992"/>
      <c r="AC44" s="16070" t="s">
        <v>571</v>
      </c>
      <c r="AD44" s="16157"/>
      <c r="AE44" s="16071"/>
      <c r="AF44" s="16137"/>
      <c r="AG44" s="16070" t="s">
        <v>589</v>
      </c>
      <c r="AH44" s="15992" t="s">
        <v>590</v>
      </c>
      <c r="AI44" s="15992"/>
      <c r="AJ44" s="15992"/>
      <c r="AK44" s="15992"/>
      <c r="AL44" s="16070" t="s">
        <v>571</v>
      </c>
      <c r="AM44" s="16157"/>
      <c r="AN44" s="16071"/>
      <c r="AO44" s="16137"/>
      <c r="AP44" s="16140"/>
      <c r="AQ44" s="15992"/>
    </row>
    <row r="45" spans="1:48" ht="14.25" customHeight="1">
      <c r="R45" s="291"/>
      <c r="S45" s="291"/>
      <c r="T45" s="291"/>
      <c r="U45" s="16132"/>
      <c r="V45" s="16084"/>
      <c r="W45" s="919"/>
      <c r="X45" s="16072"/>
      <c r="Y45" s="16097" t="s">
        <v>591</v>
      </c>
      <c r="Z45" s="16092" t="s">
        <v>592</v>
      </c>
      <c r="AA45" s="16093"/>
      <c r="AB45" s="16094"/>
      <c r="AC45" s="16075"/>
      <c r="AD45" s="16158"/>
      <c r="AE45" s="16076"/>
      <c r="AF45" s="16137"/>
      <c r="AG45" s="16072"/>
      <c r="AH45" s="16097" t="s">
        <v>591</v>
      </c>
      <c r="AI45" s="16092" t="s">
        <v>592</v>
      </c>
      <c r="AJ45" s="16093"/>
      <c r="AK45" s="16094"/>
      <c r="AL45" s="16075"/>
      <c r="AM45" s="16158"/>
      <c r="AN45" s="16076"/>
      <c r="AO45" s="16137"/>
      <c r="AP45" s="16140"/>
      <c r="AQ45" s="15992"/>
    </row>
    <row r="46" spans="1:48" ht="25.5" customHeight="1">
      <c r="R46" s="291"/>
      <c r="S46" s="291"/>
      <c r="T46" s="291"/>
      <c r="U46" s="16132"/>
      <c r="V46" s="16084"/>
      <c r="W46" s="919"/>
      <c r="X46" s="16072"/>
      <c r="Y46" s="16159"/>
      <c r="Z46" s="16097" t="s">
        <v>593</v>
      </c>
      <c r="AA46" s="16092" t="s">
        <v>594</v>
      </c>
      <c r="AB46" s="16094"/>
      <c r="AC46" s="16097" t="s">
        <v>581</v>
      </c>
      <c r="AD46" s="16099" t="s">
        <v>582</v>
      </c>
      <c r="AE46" s="16101"/>
      <c r="AF46" s="16137"/>
      <c r="AG46" s="16072"/>
      <c r="AH46" s="16159"/>
      <c r="AI46" s="16097" t="s">
        <v>593</v>
      </c>
      <c r="AJ46" s="16092" t="s">
        <v>594</v>
      </c>
      <c r="AK46" s="16094"/>
      <c r="AL46" s="16097" t="s">
        <v>581</v>
      </c>
      <c r="AM46" s="16099" t="s">
        <v>582</v>
      </c>
      <c r="AN46" s="16101"/>
      <c r="AO46" s="16137"/>
      <c r="AP46" s="16140"/>
      <c r="AQ46" s="15992"/>
    </row>
    <row r="47" spans="1:48" ht="62.25" customHeight="1">
      <c r="A47" s="1142"/>
      <c r="B47" s="1142" t="s">
        <v>170</v>
      </c>
      <c r="C47" s="1142" t="s">
        <v>171</v>
      </c>
      <c r="D47" s="1142" t="s">
        <v>172</v>
      </c>
      <c r="E47" s="1189" t="s">
        <v>572</v>
      </c>
      <c r="F47" s="1189" t="s">
        <v>573</v>
      </c>
      <c r="G47" s="1189" t="s">
        <v>574</v>
      </c>
      <c r="H47" s="1189" t="s">
        <v>575</v>
      </c>
      <c r="I47" s="1189" t="s">
        <v>576</v>
      </c>
      <c r="J47" s="1189" t="s">
        <v>577</v>
      </c>
      <c r="K47" s="1189" t="s">
        <v>578</v>
      </c>
      <c r="L47" s="1189" t="s">
        <v>595</v>
      </c>
      <c r="M47" s="1189" t="s">
        <v>553</v>
      </c>
      <c r="R47" s="291"/>
      <c r="S47" s="291"/>
      <c r="T47" s="291"/>
      <c r="U47" s="16132"/>
      <c r="V47" s="16084"/>
      <c r="W47" s="219"/>
      <c r="X47" s="16075"/>
      <c r="Y47" s="16098"/>
      <c r="Z47" s="16098"/>
      <c r="AA47" s="1104" t="s">
        <v>596</v>
      </c>
      <c r="AB47" s="1104" t="s">
        <v>597</v>
      </c>
      <c r="AC47" s="16098"/>
      <c r="AD47" s="16100"/>
      <c r="AE47" s="16102"/>
      <c r="AF47" s="16138"/>
      <c r="AG47" s="16075"/>
      <c r="AH47" s="16098"/>
      <c r="AI47" s="16098"/>
      <c r="AJ47" s="1104" t="s">
        <v>596</v>
      </c>
      <c r="AK47" s="1104" t="s">
        <v>597</v>
      </c>
      <c r="AL47" s="16098"/>
      <c r="AM47" s="16100"/>
      <c r="AN47" s="16102"/>
      <c r="AO47" s="16138"/>
      <c r="AP47" s="16141"/>
      <c r="AQ47" s="15992"/>
    </row>
    <row r="48" spans="1:48" s="14405" customFormat="1" ht="11.25" hidden="1" customHeight="1">
      <c r="A48" s="1142"/>
      <c r="B48" s="1142"/>
      <c r="C48" s="1142"/>
      <c r="D48" s="1142"/>
      <c r="E48" s="1142"/>
      <c r="F48" s="1142"/>
      <c r="G48" s="1142"/>
      <c r="H48" s="1142"/>
      <c r="I48" s="1142"/>
      <c r="J48" s="1142"/>
      <c r="K48" s="1142"/>
      <c r="L48" s="1142"/>
      <c r="M48" s="1189"/>
      <c r="N48" s="1206"/>
      <c r="O48" s="1206"/>
      <c r="P48" s="1206"/>
      <c r="Q48" s="1128"/>
      <c r="R48" s="1129"/>
      <c r="S48" s="1136">
        <v>1</v>
      </c>
      <c r="T48" s="1136"/>
      <c r="U48" s="1159" t="s">
        <v>147</v>
      </c>
      <c r="V48" s="1137" t="s">
        <v>102</v>
      </c>
      <c r="W48" s="1127" t="str">
        <f ca="1">OFFSET(W48,0,-1)</f>
        <v>2</v>
      </c>
      <c r="X48" s="1213">
        <f ca="1">OFFSET(X48,0,-1)+1</f>
        <v>3</v>
      </c>
      <c r="Y48" s="1219"/>
      <c r="Z48" s="1219"/>
      <c r="AA48" s="1219">
        <f ca="1">OFFSET(AA48,0,-1)+1</f>
        <v>1</v>
      </c>
      <c r="AB48" s="1219">
        <f ca="1">OFFSET(AB48,0,-1)+1</f>
        <v>2</v>
      </c>
      <c r="AC48" s="1213">
        <f ca="1">OFFSET(AC48,0,-1)+1</f>
        <v>3</v>
      </c>
      <c r="AD48" s="16131">
        <f ca="1">OFFSET(AD48,0,-1)+1</f>
        <v>4</v>
      </c>
      <c r="AE48" s="16131"/>
      <c r="AF48" s="1213">
        <f ca="1">OFFSET(AF48,0,-2)+1</f>
        <v>5</v>
      </c>
      <c r="AG48" s="1213">
        <f ca="1">OFFSET(AG48,0,-1)+1</f>
        <v>6</v>
      </c>
      <c r="AH48" s="1213"/>
      <c r="AI48" s="1213"/>
      <c r="AJ48" s="1213">
        <f ca="1">OFFSET(AJ48,0,-1)+1</f>
        <v>1</v>
      </c>
      <c r="AK48" s="1213">
        <f ca="1">OFFSET(AK48,0,-1)+1</f>
        <v>2</v>
      </c>
      <c r="AL48" s="1213">
        <f ca="1">OFFSET(AL48,0,-1)+1</f>
        <v>3</v>
      </c>
      <c r="AM48" s="16131">
        <f ca="1">OFFSET(AM48,0,-1)+1</f>
        <v>4</v>
      </c>
      <c r="AN48" s="16131"/>
      <c r="AO48" s="1213">
        <f ca="1">OFFSET(AO48,0,-2)+1</f>
        <v>5</v>
      </c>
      <c r="AP48" s="1127">
        <f ca="1">OFFSET(AP48,0,-1)</f>
        <v>5</v>
      </c>
      <c r="AQ48" s="1213">
        <f ca="1">OFFSET(AQ48,0,-1)+1</f>
        <v>6</v>
      </c>
      <c r="AR48" s="418"/>
      <c r="AS48" s="418"/>
      <c r="AT48" s="418"/>
      <c r="AU48" s="418"/>
      <c r="AV48" s="418"/>
    </row>
    <row r="49" spans="1:48" ht="21" customHeight="1">
      <c r="A49" s="1149" t="s">
        <v>205</v>
      </c>
      <c r="B49" s="1149"/>
      <c r="C49" s="1149"/>
      <c r="D49" s="1149"/>
      <c r="E49" s="16148">
        <v>1</v>
      </c>
      <c r="F49" s="1149"/>
      <c r="G49" s="1149"/>
      <c r="H49" s="1149"/>
      <c r="I49" s="1149"/>
      <c r="J49" s="1149"/>
      <c r="K49" s="1149"/>
      <c r="L49" s="1149"/>
      <c r="M49" s="1189"/>
      <c r="N49" s="589"/>
      <c r="O49" s="589"/>
      <c r="P49" s="589"/>
      <c r="Q49" s="277"/>
      <c r="R49" s="276"/>
      <c r="S49" s="276"/>
      <c r="T49" s="271"/>
      <c r="U49" s="1214">
        <f>INDEX(PT_DIFFERENTIATION_NUM_NTAR,MATCH(A49,PT_DIFFERENTIATION_NTAR_ID,0))</f>
        <v>0</v>
      </c>
      <c r="V49" s="215" t="s">
        <v>158</v>
      </c>
      <c r="W49" s="217"/>
      <c r="X49" s="16110"/>
      <c r="Y49" s="16111"/>
      <c r="Z49" s="16111"/>
      <c r="AA49" s="16111"/>
      <c r="AB49" s="16111"/>
      <c r="AC49" s="16111"/>
      <c r="AD49" s="16111"/>
      <c r="AE49" s="16111"/>
      <c r="AF49" s="16112"/>
      <c r="AG49" s="16110" t="str">
        <f>INDEX(PT_DIFFERENTIATION_NTAR,MATCH(A49,PT_DIFFERENTIATION_NTAR_ID,0))</f>
        <v/>
      </c>
      <c r="AH49" s="16111"/>
      <c r="AI49" s="16111"/>
      <c r="AJ49" s="16111"/>
      <c r="AK49" s="16111"/>
      <c r="AL49" s="16111"/>
      <c r="AM49" s="16111"/>
      <c r="AN49" s="16111"/>
      <c r="AO49" s="16111"/>
      <c r="AP49" s="16112"/>
      <c r="AQ49" s="11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07"/>
      <c r="AT49" s="407" t="str">
        <f t="shared" ref="AT49:AT65" si="2">IF(V49="","",V49)</f>
        <v>Наименование тарифа</v>
      </c>
      <c r="AU49" s="407"/>
      <c r="AV49" s="407"/>
    </row>
    <row r="50" spans="1:48" ht="21" customHeight="1">
      <c r="A50" s="1149" t="s">
        <v>205</v>
      </c>
      <c r="B50" s="1149" t="s">
        <v>206</v>
      </c>
      <c r="C50" s="1149"/>
      <c r="D50" s="1149"/>
      <c r="E50" s="16149"/>
      <c r="F50" s="16148">
        <v>1</v>
      </c>
      <c r="G50" s="1149"/>
      <c r="H50" s="1149"/>
      <c r="I50" s="1149"/>
      <c r="J50" s="1149"/>
      <c r="K50" s="1149"/>
      <c r="L50" s="1149"/>
      <c r="M50" s="1189"/>
      <c r="N50" s="589"/>
      <c r="O50" s="589"/>
      <c r="P50" s="589"/>
      <c r="Q50" s="1210"/>
      <c r="R50" s="268"/>
      <c r="S50" s="416"/>
      <c r="T50" s="269"/>
      <c r="U50" s="1214" t="str">
        <f>INDEX(PT_DIFFERENTIATION_NUM_TER,MATCH(B50,PT_DIFFERENTIATION_TER_ID,0))</f>
        <v>.</v>
      </c>
      <c r="V50" s="225" t="s">
        <v>534</v>
      </c>
      <c r="W50" s="217"/>
      <c r="X50" s="16110"/>
      <c r="Y50" s="16111"/>
      <c r="Z50" s="16111"/>
      <c r="AA50" s="16111"/>
      <c r="AB50" s="16111"/>
      <c r="AC50" s="16111"/>
      <c r="AD50" s="16111"/>
      <c r="AE50" s="16111"/>
      <c r="AF50" s="16112"/>
      <c r="AG50" s="16110" t="str">
        <f>INDEX(PT_DIFFERENTIATION_TER,MATCH(B50,PT_DIFFERENTIATION_TER_ID,0))</f>
        <v/>
      </c>
      <c r="AH50" s="16111"/>
      <c r="AI50" s="16111"/>
      <c r="AJ50" s="16111"/>
      <c r="AK50" s="16111"/>
      <c r="AL50" s="16111"/>
      <c r="AM50" s="16111"/>
      <c r="AN50" s="16111"/>
      <c r="AO50" s="16111"/>
      <c r="AP50" s="16112"/>
      <c r="AQ50" s="1140" t="s">
        <v>535</v>
      </c>
      <c r="AS50" s="407"/>
      <c r="AT50" s="407" t="str">
        <f t="shared" si="2"/>
        <v>Территория действия тарифа</v>
      </c>
      <c r="AU50" s="407"/>
      <c r="AV50" s="407"/>
    </row>
    <row r="51" spans="1:48" ht="22.5" customHeight="1">
      <c r="A51" s="1149" t="s">
        <v>205</v>
      </c>
      <c r="B51" s="1149" t="s">
        <v>206</v>
      </c>
      <c r="C51" s="1149" t="s">
        <v>207</v>
      </c>
      <c r="D51" s="1149"/>
      <c r="E51" s="16149"/>
      <c r="F51" s="16149"/>
      <c r="G51" s="16148">
        <v>1</v>
      </c>
      <c r="H51" s="1149"/>
      <c r="I51" s="1149"/>
      <c r="J51" s="1149"/>
      <c r="K51" s="1149"/>
      <c r="L51" s="1149"/>
      <c r="M51" s="1189"/>
      <c r="N51" s="589"/>
      <c r="O51" s="589"/>
      <c r="P51" s="589"/>
      <c r="Q51" s="270"/>
      <c r="R51" s="268"/>
      <c r="S51" s="416"/>
      <c r="T51" s="269"/>
      <c r="U51" s="1214" t="str">
        <f>INDEX(PT_DIFFERENTIATION_NUM_CS,MATCH(C51,PT_DIFFERENTIATION_CS_ID,0))</f>
        <v>..</v>
      </c>
      <c r="V51" s="226" t="s">
        <v>536</v>
      </c>
      <c r="W51" s="217"/>
      <c r="X51" s="16110"/>
      <c r="Y51" s="16111"/>
      <c r="Z51" s="16111"/>
      <c r="AA51" s="16111"/>
      <c r="AB51" s="16111"/>
      <c r="AC51" s="16111"/>
      <c r="AD51" s="16111"/>
      <c r="AE51" s="16111"/>
      <c r="AF51" s="16112"/>
      <c r="AG51" s="16110" t="str">
        <f>INDEX(PT_DIFFERENTIATION_CS,MATCH(C51,PT_DIFFERENTIATION_CS_ID,0))</f>
        <v/>
      </c>
      <c r="AH51" s="16111"/>
      <c r="AI51" s="16111"/>
      <c r="AJ51" s="16111"/>
      <c r="AK51" s="16111"/>
      <c r="AL51" s="16111"/>
      <c r="AM51" s="16111"/>
      <c r="AN51" s="16111"/>
      <c r="AO51" s="16111"/>
      <c r="AP51" s="16112"/>
      <c r="AQ51" s="1140" t="s">
        <v>537</v>
      </c>
      <c r="AS51" s="407"/>
      <c r="AT51" s="407" t="str">
        <f t="shared" si="2"/>
        <v xml:space="preserve">Наименование системы теплоснабжения </v>
      </c>
      <c r="AU51" s="407"/>
      <c r="AV51" s="407"/>
    </row>
    <row r="52" spans="1:48" ht="21" customHeight="1">
      <c r="A52" s="1149" t="s">
        <v>205</v>
      </c>
      <c r="B52" s="1149" t="s">
        <v>206</v>
      </c>
      <c r="C52" s="1149" t="s">
        <v>207</v>
      </c>
      <c r="D52" s="1149" t="s">
        <v>208</v>
      </c>
      <c r="E52" s="16149"/>
      <c r="F52" s="16149"/>
      <c r="G52" s="16149"/>
      <c r="H52" s="16148">
        <v>1</v>
      </c>
      <c r="I52" s="1149"/>
      <c r="J52" s="1149"/>
      <c r="K52" s="1149"/>
      <c r="L52" s="1149"/>
      <c r="M52" s="1189"/>
      <c r="N52" s="589"/>
      <c r="O52" s="589"/>
      <c r="P52" s="589"/>
      <c r="Q52" s="270"/>
      <c r="R52" s="268"/>
      <c r="S52" s="416"/>
      <c r="T52" s="269"/>
      <c r="U52" s="1214" t="str">
        <f>INDEX(PT_DIFFERENTIATION_NUM_IST_TE,MATCH(D52,PT_DIFFERENTIATION_IST_TE_ID,0))</f>
        <v>...</v>
      </c>
      <c r="V52" s="227" t="s">
        <v>538</v>
      </c>
      <c r="W52" s="217"/>
      <c r="X52" s="16110"/>
      <c r="Y52" s="16111"/>
      <c r="Z52" s="16111"/>
      <c r="AA52" s="16111"/>
      <c r="AB52" s="16111"/>
      <c r="AC52" s="16111"/>
      <c r="AD52" s="16111"/>
      <c r="AE52" s="16111"/>
      <c r="AF52" s="16112"/>
      <c r="AG52" s="16110" t="str">
        <f>INDEX(PT_DIFFERENTIATION_IST_TE,MATCH(D52,PT_DIFFERENTIATION_IST_TE_ID,0))</f>
        <v/>
      </c>
      <c r="AH52" s="16111"/>
      <c r="AI52" s="16111"/>
      <c r="AJ52" s="16111"/>
      <c r="AK52" s="16111"/>
      <c r="AL52" s="16111"/>
      <c r="AM52" s="16111"/>
      <c r="AN52" s="16111"/>
      <c r="AO52" s="16111"/>
      <c r="AP52" s="16112"/>
      <c r="AQ52" s="1140" t="s">
        <v>539</v>
      </c>
      <c r="AS52" s="407"/>
      <c r="AT52" s="407" t="str">
        <f t="shared" si="2"/>
        <v xml:space="preserve">Источник тепловой энергии  </v>
      </c>
      <c r="AU52" s="407"/>
      <c r="AV52" s="407"/>
    </row>
    <row r="53" spans="1:48" s="14421" customFormat="1" ht="0" hidden="1" customHeight="1">
      <c r="A53" s="1252" t="s">
        <v>205</v>
      </c>
      <c r="B53" s="1252" t="s">
        <v>206</v>
      </c>
      <c r="C53" s="1252" t="s">
        <v>207</v>
      </c>
      <c r="D53" s="1252" t="s">
        <v>208</v>
      </c>
      <c r="E53" s="16149"/>
      <c r="F53" s="16149"/>
      <c r="G53" s="16149"/>
      <c r="H53" s="16149"/>
      <c r="I53" s="15992" t="str">
        <f>U52&amp;".1"</f>
        <v>....1</v>
      </c>
      <c r="J53" s="1252"/>
      <c r="K53" s="1252"/>
      <c r="L53" s="1252"/>
      <c r="M53" s="1258" t="s">
        <v>540</v>
      </c>
      <c r="N53" s="1128"/>
      <c r="O53" s="1128"/>
      <c r="P53" s="1128"/>
      <c r="Q53" s="16123">
        <v>1</v>
      </c>
      <c r="R53" s="1209"/>
      <c r="S53" s="1209"/>
      <c r="T53" s="272"/>
      <c r="U53" s="930"/>
      <c r="V53" s="1260"/>
      <c r="W53" s="1261"/>
      <c r="X53" s="16153"/>
      <c r="Y53" s="16154"/>
      <c r="Z53" s="16154"/>
      <c r="AA53" s="16154"/>
      <c r="AB53" s="16154"/>
      <c r="AC53" s="16154"/>
      <c r="AD53" s="16154"/>
      <c r="AE53" s="16154"/>
      <c r="AF53" s="16155"/>
      <c r="AG53" s="16153"/>
      <c r="AH53" s="16154"/>
      <c r="AI53" s="16154"/>
      <c r="AJ53" s="16154"/>
      <c r="AK53" s="16154"/>
      <c r="AL53" s="16154"/>
      <c r="AM53" s="16154"/>
      <c r="AN53" s="16154"/>
      <c r="AO53" s="16154"/>
      <c r="AP53" s="16155"/>
      <c r="AQ53" s="1262"/>
      <c r="AS53" s="407"/>
      <c r="AT53" s="407" t="str">
        <f t="shared" si="2"/>
        <v/>
      </c>
      <c r="AU53" s="407"/>
      <c r="AV53" s="407"/>
    </row>
    <row r="54" spans="1:48" ht="21" customHeight="1">
      <c r="A54" s="1149" t="s">
        <v>205</v>
      </c>
      <c r="B54" s="1149" t="s">
        <v>206</v>
      </c>
      <c r="C54" s="1149" t="s">
        <v>207</v>
      </c>
      <c r="D54" s="1149" t="s">
        <v>208</v>
      </c>
      <c r="E54" s="16149"/>
      <c r="F54" s="16149"/>
      <c r="G54" s="16149"/>
      <c r="H54" s="16149"/>
      <c r="I54" s="15963"/>
      <c r="J54" s="15992" t="str">
        <f>I53&amp;".1"</f>
        <v>....1.1</v>
      </c>
      <c r="K54" s="1149"/>
      <c r="L54" s="1149"/>
      <c r="M54" s="1189" t="s">
        <v>543</v>
      </c>
      <c r="Q54" s="16123"/>
      <c r="R54" s="16123">
        <v>1</v>
      </c>
      <c r="S54" s="425"/>
      <c r="T54" s="273"/>
      <c r="U54" s="1214" t="str">
        <f>$J54</f>
        <v>....1.1</v>
      </c>
      <c r="V54" s="203" t="s">
        <v>544</v>
      </c>
      <c r="W54" s="217"/>
      <c r="X54" s="16113"/>
      <c r="Y54" s="16114"/>
      <c r="Z54" s="16114"/>
      <c r="AA54" s="16114"/>
      <c r="AB54" s="16114"/>
      <c r="AC54" s="16106"/>
      <c r="AD54" s="16106"/>
      <c r="AE54" s="16106"/>
      <c r="AF54" s="16156"/>
      <c r="AG54" s="16113"/>
      <c r="AH54" s="16114"/>
      <c r="AI54" s="16114"/>
      <c r="AJ54" s="16114"/>
      <c r="AK54" s="16114"/>
      <c r="AL54" s="16114"/>
      <c r="AM54" s="16114"/>
      <c r="AN54" s="16114"/>
      <c r="AO54" s="16114"/>
      <c r="AP54" s="16115"/>
      <c r="AQ54" s="1140" t="s">
        <v>545</v>
      </c>
      <c r="AS54" s="407"/>
      <c r="AT54" s="407" t="str">
        <f t="shared" si="2"/>
        <v>Группа потребителей</v>
      </c>
      <c r="AU54" s="407"/>
      <c r="AV54" s="407"/>
    </row>
    <row r="55" spans="1:48" ht="21" customHeight="1">
      <c r="A55" s="1149" t="s">
        <v>205</v>
      </c>
      <c r="B55" s="1149" t="s">
        <v>206</v>
      </c>
      <c r="C55" s="1149" t="s">
        <v>207</v>
      </c>
      <c r="D55" s="1149" t="s">
        <v>208</v>
      </c>
      <c r="E55" s="16149"/>
      <c r="F55" s="16149"/>
      <c r="G55" s="16149"/>
      <c r="H55" s="16149"/>
      <c r="I55" s="15963"/>
      <c r="J55" s="15963"/>
      <c r="K55" s="15992" t="str">
        <f>J54&amp;".1"</f>
        <v>....1.1.1</v>
      </c>
      <c r="L55" s="67"/>
      <c r="M55" s="1189" t="s">
        <v>546</v>
      </c>
      <c r="Q55" s="16123"/>
      <c r="R55" s="16123"/>
      <c r="S55" s="425">
        <v>1</v>
      </c>
      <c r="T55" s="273"/>
      <c r="U55" s="1214" t="str">
        <f>$K55</f>
        <v>....1.1.1</v>
      </c>
      <c r="V55" s="1225"/>
      <c r="W55" s="217"/>
      <c r="X55" s="649"/>
      <c r="Y55" s="649"/>
      <c r="Z55" s="649"/>
      <c r="AA55" s="649"/>
      <c r="AB55" s="1282"/>
      <c r="AC55" s="16127"/>
      <c r="AD55" s="15973" t="s">
        <v>66</v>
      </c>
      <c r="AE55" s="16127"/>
      <c r="AF55" s="15973" t="s">
        <v>66</v>
      </c>
      <c r="AG55" s="1284"/>
      <c r="AH55" s="649"/>
      <c r="AI55" s="649"/>
      <c r="AJ55" s="649"/>
      <c r="AK55" s="1139"/>
      <c r="AL55" s="16127"/>
      <c r="AM55" s="15973" t="s">
        <v>66</v>
      </c>
      <c r="AN55" s="16127"/>
      <c r="AO55" s="15973" t="s">
        <v>66</v>
      </c>
      <c r="AP55" s="1226"/>
      <c r="AQ55" s="1187" t="s">
        <v>586</v>
      </c>
      <c r="AR55" s="418" t="e">
        <f ca="1">STRCHECKDATE(X57:AP57)</f>
        <v>#NAME?</v>
      </c>
      <c r="AS55" s="407"/>
      <c r="AT55" s="407" t="str">
        <f t="shared" si="2"/>
        <v/>
      </c>
      <c r="AU55" s="407"/>
      <c r="AV55" s="407"/>
    </row>
    <row r="56" spans="1:48" ht="11.25" customHeight="1">
      <c r="A56" s="1149" t="s">
        <v>205</v>
      </c>
      <c r="B56" s="1149" t="s">
        <v>206</v>
      </c>
      <c r="C56" s="1149" t="s">
        <v>207</v>
      </c>
      <c r="D56" s="1149" t="s">
        <v>208</v>
      </c>
      <c r="E56" s="16149"/>
      <c r="F56" s="16149"/>
      <c r="G56" s="16149"/>
      <c r="H56" s="16149"/>
      <c r="I56" s="15963"/>
      <c r="J56" s="15963"/>
      <c r="K56" s="15963"/>
      <c r="L56" s="15992" t="str">
        <f>K55&amp;".1"</f>
        <v>....1.1.1.1</v>
      </c>
      <c r="M56" s="1189"/>
      <c r="Q56" s="16123"/>
      <c r="R56" s="16123"/>
      <c r="S56" s="425">
        <v>1</v>
      </c>
      <c r="T56" s="273"/>
      <c r="U56" s="1214" t="str">
        <f>$L56</f>
        <v>....1.1.1.1</v>
      </c>
      <c r="V56" s="1268"/>
      <c r="W56" s="217"/>
      <c r="X56" s="242"/>
      <c r="Y56" s="649"/>
      <c r="Z56" s="649"/>
      <c r="AA56" s="649"/>
      <c r="AB56" s="1282"/>
      <c r="AC56" s="16128"/>
      <c r="AD56" s="15973"/>
      <c r="AE56" s="16128"/>
      <c r="AF56" s="15973"/>
      <c r="AG56" s="1284"/>
      <c r="AH56" s="649"/>
      <c r="AI56" s="649"/>
      <c r="AJ56" s="649"/>
      <c r="AK56" s="1139"/>
      <c r="AL56" s="16128"/>
      <c r="AM56" s="15973"/>
      <c r="AN56" s="16128"/>
      <c r="AO56" s="15973"/>
      <c r="AP56" s="1226"/>
      <c r="AQ56" s="16119" t="s">
        <v>587</v>
      </c>
      <c r="AR56" s="418" t="e">
        <f ca="1">STRCHECKDATE(X58:AP58)</f>
        <v>#NAME?</v>
      </c>
      <c r="AS56" s="407"/>
      <c r="AT56" s="407" t="str">
        <f t="shared" si="2"/>
        <v/>
      </c>
      <c r="AU56" s="407"/>
      <c r="AV56" s="407"/>
    </row>
    <row r="57" spans="1:48" ht="0" hidden="1" customHeight="1">
      <c r="A57" s="1149" t="s">
        <v>205</v>
      </c>
      <c r="B57" s="1149" t="s">
        <v>206</v>
      </c>
      <c r="C57" s="1149" t="s">
        <v>207</v>
      </c>
      <c r="D57" s="1149" t="s">
        <v>208</v>
      </c>
      <c r="E57" s="16149"/>
      <c r="F57" s="16149"/>
      <c r="G57" s="16149"/>
      <c r="H57" s="16149"/>
      <c r="I57" s="15963"/>
      <c r="J57" s="15963"/>
      <c r="K57" s="15963"/>
      <c r="L57" s="15992"/>
      <c r="M57" s="1189"/>
      <c r="Q57" s="16123"/>
      <c r="R57" s="16123"/>
      <c r="S57" s="425"/>
      <c r="T57" s="273"/>
      <c r="U57" s="1220"/>
      <c r="V57" s="217"/>
      <c r="W57" s="217"/>
      <c r="X57" s="242"/>
      <c r="Y57" s="242"/>
      <c r="Z57" s="242"/>
      <c r="AA57" s="242"/>
      <c r="AB57" s="1283" t="str">
        <f>AC55&amp;"-"&amp;AE55</f>
        <v>-</v>
      </c>
      <c r="AC57" s="16128"/>
      <c r="AD57" s="15973"/>
      <c r="AE57" s="16128"/>
      <c r="AF57" s="15973"/>
      <c r="AG57" s="1259"/>
      <c r="AH57" s="242"/>
      <c r="AI57" s="242"/>
      <c r="AJ57" s="242"/>
      <c r="AK57" s="245" t="str">
        <f>AL55&amp;"-"&amp;AN55</f>
        <v>-</v>
      </c>
      <c r="AL57" s="16128"/>
      <c r="AM57" s="15973"/>
      <c r="AN57" s="16128"/>
      <c r="AO57" s="15973"/>
      <c r="AP57" s="1227"/>
      <c r="AQ57" s="16120"/>
      <c r="AS57" s="407"/>
      <c r="AT57" s="407" t="str">
        <f t="shared" si="2"/>
        <v/>
      </c>
      <c r="AU57" s="407"/>
      <c r="AV57" s="407"/>
    </row>
    <row r="58" spans="1:48" ht="11.25" customHeight="1">
      <c r="A58" s="1149" t="s">
        <v>205</v>
      </c>
      <c r="B58" s="1149" t="s">
        <v>206</v>
      </c>
      <c r="C58" s="1149" t="s">
        <v>207</v>
      </c>
      <c r="D58" s="1149" t="s">
        <v>208</v>
      </c>
      <c r="E58" s="16149"/>
      <c r="F58" s="16149"/>
      <c r="G58" s="16149"/>
      <c r="H58" s="16149"/>
      <c r="I58" s="15963"/>
      <c r="J58" s="15963"/>
      <c r="K58" s="15992"/>
      <c r="L58" s="1149"/>
      <c r="M58" s="1189"/>
      <c r="Q58" s="16123"/>
      <c r="R58" s="16123"/>
      <c r="S58" s="1209"/>
      <c r="T58" s="272"/>
      <c r="U58" s="1160"/>
      <c r="V58" s="205" t="s">
        <v>588</v>
      </c>
      <c r="W58" s="282"/>
      <c r="X58" s="282"/>
      <c r="Y58" s="282"/>
      <c r="Z58" s="282"/>
      <c r="AA58" s="282"/>
      <c r="AB58" s="282"/>
      <c r="AC58" s="16128"/>
      <c r="AD58" s="15973"/>
      <c r="AE58" s="16128"/>
      <c r="AF58" s="15973"/>
      <c r="AG58" s="282"/>
      <c r="AH58" s="282"/>
      <c r="AI58" s="282"/>
      <c r="AJ58" s="282"/>
      <c r="AK58" s="282"/>
      <c r="AL58" s="16128"/>
      <c r="AM58" s="15973"/>
      <c r="AN58" s="16128"/>
      <c r="AO58" s="15973"/>
      <c r="AP58" s="241"/>
      <c r="AQ58" s="16120"/>
      <c r="AS58" s="407"/>
      <c r="AT58" s="407" t="str">
        <f t="shared" si="2"/>
        <v>Добавить наименование поставщика</v>
      </c>
      <c r="AU58" s="407"/>
      <c r="AV58" s="407"/>
    </row>
    <row r="59" spans="1:48" ht="11.25" customHeight="1">
      <c r="A59" s="1149" t="s">
        <v>205</v>
      </c>
      <c r="B59" s="1149" t="s">
        <v>206</v>
      </c>
      <c r="C59" s="1149" t="s">
        <v>207</v>
      </c>
      <c r="D59" s="1149" t="s">
        <v>208</v>
      </c>
      <c r="E59" s="16149"/>
      <c r="F59" s="16149"/>
      <c r="G59" s="16149"/>
      <c r="H59" s="16149"/>
      <c r="I59" s="15963"/>
      <c r="J59" s="15992"/>
      <c r="K59" s="1149"/>
      <c r="L59" s="1149"/>
      <c r="M59" s="1189"/>
      <c r="Q59" s="16123"/>
      <c r="R59" s="16123"/>
      <c r="S59" s="1209"/>
      <c r="T59" s="272"/>
      <c r="U59" s="1160"/>
      <c r="V59" s="204" t="s">
        <v>548</v>
      </c>
      <c r="W59" s="282"/>
      <c r="X59" s="282"/>
      <c r="Y59" s="282"/>
      <c r="Z59" s="282"/>
      <c r="AA59" s="282"/>
      <c r="AB59" s="282"/>
      <c r="AC59" s="1285"/>
      <c r="AD59" s="1285"/>
      <c r="AE59" s="1285"/>
      <c r="AF59" s="1285"/>
      <c r="AG59" s="282"/>
      <c r="AH59" s="282"/>
      <c r="AI59" s="282"/>
      <c r="AJ59" s="282"/>
      <c r="AK59" s="282"/>
      <c r="AL59" s="282"/>
      <c r="AM59" s="282"/>
      <c r="AN59" s="282"/>
      <c r="AO59" s="282"/>
      <c r="AP59" s="241"/>
      <c r="AQ59" s="16121"/>
      <c r="AS59" s="407"/>
      <c r="AT59" s="407" t="str">
        <f t="shared" si="2"/>
        <v>Добавить вид теплоносителя (параметры теплоносителя)</v>
      </c>
      <c r="AU59" s="407"/>
      <c r="AV59" s="407"/>
    </row>
    <row r="60" spans="1:48" ht="11.25" customHeight="1">
      <c r="A60" s="1149" t="s">
        <v>205</v>
      </c>
      <c r="B60" s="1149" t="s">
        <v>206</v>
      </c>
      <c r="C60" s="1149" t="s">
        <v>207</v>
      </c>
      <c r="D60" s="1149" t="s">
        <v>208</v>
      </c>
      <c r="E60" s="16149"/>
      <c r="F60" s="16149"/>
      <c r="G60" s="16149"/>
      <c r="H60" s="16149"/>
      <c r="I60" s="15992"/>
      <c r="J60" s="1149"/>
      <c r="K60" s="1149"/>
      <c r="L60" s="1149"/>
      <c r="M60" s="1189"/>
      <c r="Q60" s="16123"/>
      <c r="R60" s="1209"/>
      <c r="S60" s="1209"/>
      <c r="T60" s="272"/>
      <c r="U60" s="1160"/>
      <c r="V60" s="280" t="s">
        <v>549</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49" t="s">
        <v>205</v>
      </c>
      <c r="B61" s="1149" t="s">
        <v>206</v>
      </c>
      <c r="C61" s="1149" t="s">
        <v>207</v>
      </c>
      <c r="D61" s="1149" t="s">
        <v>208</v>
      </c>
      <c r="E61" s="16149"/>
      <c r="F61" s="16149"/>
      <c r="G61" s="16149"/>
      <c r="H61" s="16148"/>
      <c r="I61" s="1149"/>
      <c r="J61" s="1149"/>
      <c r="K61" s="1149"/>
      <c r="L61" s="1149"/>
      <c r="M61" s="1189"/>
      <c r="N61" s="589"/>
      <c r="O61" s="589"/>
      <c r="P61" s="416"/>
      <c r="Q61" s="276"/>
      <c r="R61" s="290"/>
      <c r="S61" s="271"/>
      <c r="T61" s="276"/>
      <c r="U61" s="1263"/>
      <c r="V61" s="1264"/>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6"/>
      <c r="AS61" s="407"/>
      <c r="AT61" s="407" t="str">
        <f t="shared" si="2"/>
        <v/>
      </c>
      <c r="AU61" s="407"/>
      <c r="AV61" s="407"/>
    </row>
    <row r="62" spans="1:48" s="14418" customFormat="1" ht="0" hidden="1" customHeight="1">
      <c r="A62" s="1252" t="s">
        <v>205</v>
      </c>
      <c r="B62" s="1252" t="s">
        <v>206</v>
      </c>
      <c r="C62" s="1252" t="s">
        <v>207</v>
      </c>
      <c r="D62" s="1251"/>
      <c r="E62" s="16149"/>
      <c r="F62" s="16149"/>
      <c r="G62" s="16148"/>
      <c r="H62" s="1251"/>
      <c r="I62" s="1251"/>
      <c r="J62" s="1251"/>
      <c r="K62" s="1251"/>
      <c r="L62" s="1251"/>
      <c r="M62" s="1254"/>
      <c r="N62" s="1255"/>
      <c r="O62" s="1255"/>
      <c r="P62" s="267"/>
      <c r="Q62" s="1195"/>
      <c r="R62" s="1196"/>
      <c r="S62" s="1195"/>
      <c r="T62" s="1195"/>
      <c r="U62" s="1201"/>
      <c r="V62" s="1204" t="s">
        <v>551</v>
      </c>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S62" s="687"/>
      <c r="AT62" s="687" t="str">
        <f t="shared" si="2"/>
        <v>Добавить источник для дифференциации</v>
      </c>
      <c r="AU62" s="687"/>
      <c r="AV62" s="687"/>
    </row>
    <row r="63" spans="1:48" s="14418" customFormat="1" ht="0" hidden="1" customHeight="1">
      <c r="A63" s="1252" t="s">
        <v>205</v>
      </c>
      <c r="B63" s="1252" t="s">
        <v>206</v>
      </c>
      <c r="C63" s="1251"/>
      <c r="D63" s="1251"/>
      <c r="E63" s="16149"/>
      <c r="F63" s="16148"/>
      <c r="G63" s="1251"/>
      <c r="H63" s="1251"/>
      <c r="I63" s="1251"/>
      <c r="J63" s="1251"/>
      <c r="K63" s="1251"/>
      <c r="L63" s="1251"/>
      <c r="M63" s="1254"/>
      <c r="N63" s="1256"/>
      <c r="O63" s="1256"/>
      <c r="P63" s="267"/>
      <c r="Q63" s="1195"/>
      <c r="R63" s="1196"/>
      <c r="S63" s="1195"/>
      <c r="T63" s="1195"/>
      <c r="U63" s="1201"/>
      <c r="V63" s="1204" t="s">
        <v>290</v>
      </c>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S63" s="687"/>
      <c r="AT63" s="687" t="str">
        <f t="shared" si="2"/>
        <v>Добавить централизованную систему для дифференциации</v>
      </c>
      <c r="AU63" s="687"/>
      <c r="AV63" s="687"/>
    </row>
    <row r="64" spans="1:48" s="14421" customFormat="1" ht="0" hidden="1" customHeight="1">
      <c r="A64" s="1252" t="s">
        <v>205</v>
      </c>
      <c r="B64" s="1252"/>
      <c r="C64" s="1252"/>
      <c r="D64" s="1252"/>
      <c r="E64" s="16148"/>
      <c r="F64" s="1252"/>
      <c r="G64" s="1252"/>
      <c r="H64" s="1252"/>
      <c r="I64" s="1252"/>
      <c r="J64" s="1252"/>
      <c r="K64" s="1252"/>
      <c r="L64" s="1252"/>
      <c r="M64" s="1258"/>
      <c r="N64" s="1256"/>
      <c r="O64" s="1256"/>
      <c r="P64" s="267"/>
      <c r="Q64" s="295"/>
      <c r="R64" s="1222"/>
      <c r="S64" s="295"/>
      <c r="T64" s="295"/>
      <c r="U64" s="1201"/>
      <c r="V64" s="1204" t="s">
        <v>326</v>
      </c>
      <c r="W64" s="1203"/>
      <c r="X64" s="1203"/>
      <c r="Y64" s="1203"/>
      <c r="Z64" s="1203"/>
      <c r="AA64" s="1203"/>
      <c r="AB64" s="1203"/>
      <c r="AC64" s="1203"/>
      <c r="AD64" s="1203"/>
      <c r="AE64" s="1203"/>
      <c r="AF64" s="1203"/>
      <c r="AG64" s="1203"/>
      <c r="AH64" s="1203"/>
      <c r="AI64" s="1203"/>
      <c r="AJ64" s="1203"/>
      <c r="AK64" s="1203"/>
      <c r="AL64" s="1203"/>
      <c r="AM64" s="1203"/>
      <c r="AN64" s="1203"/>
      <c r="AO64" s="1203"/>
      <c r="AP64" s="1203"/>
      <c r="AQ64" s="1203"/>
      <c r="AS64" s="407"/>
      <c r="AT64" s="407" t="str">
        <f t="shared" si="2"/>
        <v>Добавить территорию для дифференциации</v>
      </c>
      <c r="AU64" s="407"/>
      <c r="AV64" s="407"/>
    </row>
    <row r="65" spans="1:48" s="14418" customFormat="1" ht="5.25" customHeight="1">
      <c r="A65" s="1251"/>
      <c r="B65" s="1251"/>
      <c r="C65" s="1251"/>
      <c r="D65" s="1251"/>
      <c r="E65" s="1252"/>
      <c r="F65" s="1251"/>
      <c r="G65" s="1251"/>
      <c r="H65" s="1251"/>
      <c r="I65" s="1251"/>
      <c r="J65" s="1251"/>
      <c r="K65" s="1251"/>
      <c r="L65" s="1251"/>
      <c r="M65" s="1254"/>
      <c r="N65" s="1256"/>
      <c r="O65" s="1256"/>
      <c r="P65" s="267"/>
      <c r="Q65" s="1195"/>
      <c r="R65" s="1196"/>
      <c r="S65" s="1195"/>
      <c r="T65" s="1195"/>
      <c r="U65" s="1201"/>
      <c r="V65" s="1204" t="s">
        <v>390</v>
      </c>
      <c r="W65" s="1203"/>
      <c r="X65" s="1203"/>
      <c r="Y65" s="1203"/>
      <c r="Z65" s="1203"/>
      <c r="AA65" s="1203"/>
      <c r="AB65" s="1203"/>
      <c r="AC65" s="1203"/>
      <c r="AD65" s="1203"/>
      <c r="AE65" s="1203"/>
      <c r="AF65" s="1203"/>
      <c r="AG65" s="1203"/>
      <c r="AH65" s="1203"/>
      <c r="AI65" s="1203"/>
      <c r="AJ65" s="1203"/>
      <c r="AK65" s="1203"/>
      <c r="AL65" s="1203"/>
      <c r="AM65" s="1203"/>
      <c r="AN65" s="1203"/>
      <c r="AO65" s="1203"/>
      <c r="AP65" s="1203"/>
      <c r="AQ65" s="1203"/>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5"/>
      <c r="V67" s="16144"/>
      <c r="W67" s="16144"/>
      <c r="X67" s="16144"/>
      <c r="Y67" s="16144"/>
      <c r="Z67" s="16144"/>
      <c r="AA67" s="16144"/>
      <c r="AB67" s="16144"/>
      <c r="AC67" s="16144"/>
      <c r="AD67" s="16144"/>
      <c r="AE67" s="16144"/>
      <c r="AF67" s="16144"/>
      <c r="AG67" s="16144"/>
      <c r="AH67" s="16144"/>
      <c r="AI67" s="16144"/>
      <c r="AJ67" s="16144"/>
      <c r="AK67" s="16144"/>
      <c r="AL67" s="16144"/>
      <c r="AM67" s="16144"/>
      <c r="AN67" s="16144"/>
      <c r="AO67" s="16144"/>
      <c r="AP67" s="16144"/>
      <c r="AQ67" s="16144"/>
    </row>
    <row r="68" spans="1:48" ht="19.5" customHeight="1">
      <c r="P68" s="416"/>
      <c r="V68" s="16144"/>
      <c r="W68" s="16144"/>
      <c r="X68" s="16144"/>
      <c r="Y68" s="16144"/>
      <c r="Z68" s="16144"/>
      <c r="AA68" s="16144"/>
      <c r="AB68" s="16144"/>
      <c r="AC68" s="16144"/>
      <c r="AD68" s="16144"/>
      <c r="AE68" s="16144"/>
      <c r="AF68" s="16144"/>
      <c r="AG68" s="16144"/>
      <c r="AH68" s="16144"/>
      <c r="AI68" s="16144"/>
      <c r="AJ68" s="16144"/>
      <c r="AK68" s="16144"/>
      <c r="AL68" s="16144"/>
      <c r="AM68" s="16144"/>
      <c r="AN68" s="16144"/>
      <c r="AO68" s="16144"/>
      <c r="AP68" s="16144"/>
      <c r="AQ68" s="16144"/>
    </row>
    <row r="69" spans="1:48" ht="14.25" customHeight="1">
      <c r="P69" s="416"/>
    </row>
    <row r="70" spans="1:48" ht="27" customHeight="1">
      <c r="P70" s="416"/>
      <c r="V70" s="16144"/>
      <c r="W70" s="16144"/>
      <c r="X70" s="16144"/>
      <c r="Y70" s="16144"/>
      <c r="Z70" s="16144"/>
      <c r="AA70" s="16144"/>
      <c r="AB70" s="16144"/>
      <c r="AC70" s="16144"/>
      <c r="AD70" s="16144"/>
      <c r="AE70" s="16144"/>
      <c r="AF70" s="16144"/>
      <c r="AG70" s="16144"/>
      <c r="AH70" s="16144"/>
      <c r="AI70" s="16144"/>
      <c r="AJ70" s="16144"/>
      <c r="AK70" s="16144"/>
      <c r="AL70" s="16144"/>
      <c r="AM70" s="16144"/>
      <c r="AN70" s="16144"/>
      <c r="AO70" s="16144"/>
      <c r="AP70" s="16144"/>
      <c r="AQ70" s="16144"/>
    </row>
    <row r="71" spans="1:48" ht="18" customHeight="1">
      <c r="P71" s="416"/>
      <c r="V71" s="16144"/>
      <c r="W71" s="16144"/>
      <c r="X71" s="16144"/>
      <c r="Y71" s="16144"/>
      <c r="Z71" s="16144"/>
      <c r="AA71" s="16144"/>
      <c r="AB71" s="16144"/>
      <c r="AC71" s="16144"/>
      <c r="AD71" s="16144"/>
      <c r="AE71" s="16144"/>
      <c r="AF71" s="16144"/>
      <c r="AG71" s="16144"/>
      <c r="AH71" s="16144"/>
      <c r="AI71" s="16144"/>
      <c r="AJ71" s="16144"/>
      <c r="AK71" s="16144"/>
      <c r="AL71" s="16144"/>
      <c r="AM71" s="16144"/>
      <c r="AN71" s="16144"/>
      <c r="AO71" s="16144"/>
      <c r="AP71" s="16144"/>
      <c r="AQ71" s="1614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zoomScale="90" workbookViewId="0">
      <selection activeCell="T62" sqref="T62"/>
    </sheetView>
  </sheetViews>
  <sheetFormatPr defaultColWidth="10.5703125" defaultRowHeight="14.25" customHeight="1"/>
  <cols>
    <col min="1" max="1" width="10.5703125" style="14419"/>
    <col min="2" max="2" width="11" style="14419" customWidth="1"/>
    <col min="3" max="3" width="10.5703125" style="14419"/>
    <col min="4" max="4" width="11.85546875" style="14419" customWidth="1"/>
    <col min="5" max="5" width="10" style="14419" customWidth="1"/>
    <col min="6" max="6" width="8.7109375" style="14419" customWidth="1"/>
    <col min="7" max="7" width="7.5703125" style="14419" customWidth="1"/>
    <col min="8" max="8" width="11.42578125" style="14419" customWidth="1"/>
    <col min="9" max="9" width="12" style="14419" customWidth="1"/>
    <col min="10" max="10" width="9.85546875" style="14419" customWidth="1"/>
    <col min="11" max="11" width="11.42578125" style="14419" customWidth="1"/>
    <col min="12" max="12" width="19.140625" style="14422" customWidth="1"/>
    <col min="13" max="14" width="12.28515625" style="14423" customWidth="1"/>
    <col min="15" max="15" width="23.42578125" style="14423" customWidth="1"/>
    <col min="16" max="16" width="3.7109375" style="14423" customWidth="1"/>
    <col min="17" max="17" width="3.7109375" style="14439" customWidth="1"/>
    <col min="18" max="18" width="3.7109375" style="14425" customWidth="1"/>
    <col min="19" max="19" width="12.7109375" style="14426" customWidth="1"/>
    <col min="20" max="20" width="32" style="14427" customWidth="1"/>
    <col min="21" max="21" width="0.140625" style="14427" customWidth="1"/>
    <col min="22" max="23" width="21.7109375" style="14427" customWidth="1"/>
    <col min="24" max="24" width="11.7109375" style="14427" customWidth="1"/>
    <col min="25" max="25" width="3.7109375" style="14427" customWidth="1"/>
    <col min="26" max="26" width="11.7109375" style="14427" customWidth="1"/>
    <col min="27" max="27" width="8.5703125" style="14427" customWidth="1"/>
    <col min="28" max="28" width="5.42578125" style="14427" customWidth="1"/>
    <col min="29" max="30" width="3.7109375" style="14427" customWidth="1"/>
    <col min="31" max="31" width="24.7109375" style="14427" customWidth="1"/>
    <col min="32" max="34" width="3.7109375" style="14427" customWidth="1"/>
    <col min="35" max="35" width="24.7109375" style="14427" customWidth="1"/>
    <col min="36" max="38" width="3.7109375" style="14427" customWidth="1"/>
    <col min="39" max="39" width="18.85546875" style="14427" customWidth="1"/>
    <col min="40" max="41" width="21.7109375" style="14427" customWidth="1"/>
    <col min="42" max="42" width="11.7109375" style="14427" customWidth="1"/>
    <col min="43" max="43" width="3.7109375" style="14427" customWidth="1"/>
    <col min="44" max="44" width="11.7109375" style="14427" customWidth="1"/>
    <col min="45" max="45" width="8.5703125" style="14427" customWidth="1"/>
    <col min="46" max="46" width="4.7109375" style="14427" customWidth="1"/>
    <col min="47" max="47" width="115.7109375" style="14427" customWidth="1"/>
    <col min="48" max="49" width="10.5703125" style="14421"/>
    <col min="50" max="50" width="11.140625" style="14421" customWidth="1"/>
    <col min="51" max="52" width="10.5703125" style="14421"/>
  </cols>
  <sheetData>
    <row r="1" spans="1:52" ht="14.25" customHeight="1">
      <c r="W1" s="244"/>
      <c r="X1" s="244"/>
      <c r="AO1" s="244"/>
      <c r="AP1" s="244"/>
    </row>
    <row r="2" spans="1:52" ht="21" customHeight="1">
      <c r="A2" s="1240"/>
      <c r="B2" s="1240"/>
      <c r="C2" s="1240"/>
      <c r="D2" s="1240"/>
      <c r="E2" s="16124">
        <v>1</v>
      </c>
      <c r="F2" s="1240"/>
      <c r="G2" s="1240"/>
      <c r="H2" s="1240"/>
      <c r="I2" s="1240"/>
      <c r="J2" s="1240"/>
      <c r="K2" s="1240"/>
      <c r="L2" s="1241"/>
      <c r="M2" s="1242"/>
      <c r="N2" s="1242"/>
      <c r="O2" s="1242"/>
      <c r="P2" s="1286"/>
      <c r="Q2" s="767"/>
      <c r="R2" s="271"/>
      <c r="S2" s="1214" t="e">
        <f>INDEX(PT_DIFFERENTIATION_NUM_NTAR,MATCH(A2,PT_DIFFERENTIATION_NTAR_ID,0))</f>
        <v>#N/A</v>
      </c>
      <c r="T2" s="215" t="s">
        <v>158</v>
      </c>
      <c r="U2" s="217"/>
      <c r="V2" s="16111"/>
      <c r="W2" s="16111"/>
      <c r="X2" s="16111"/>
      <c r="Y2" s="16111"/>
      <c r="Z2" s="16111"/>
      <c r="AA2" s="16112"/>
      <c r="AB2" s="16110" t="e">
        <f>INDEX(PT_DIFFERENTIATION_NTAR,MATCH(A2,PT_DIFFERENTIATION_NTAR_ID,0))</f>
        <v>#N/A</v>
      </c>
      <c r="AC2" s="16111"/>
      <c r="AD2" s="16111"/>
      <c r="AE2" s="16111"/>
      <c r="AF2" s="16111"/>
      <c r="AG2" s="16111"/>
      <c r="AH2" s="16111"/>
      <c r="AI2" s="16111"/>
      <c r="AJ2" s="16111"/>
      <c r="AK2" s="16111"/>
      <c r="AL2" s="16111"/>
      <c r="AM2" s="16111"/>
      <c r="AN2" s="16111"/>
      <c r="AO2" s="16111"/>
      <c r="AP2" s="16111"/>
      <c r="AQ2" s="16111"/>
      <c r="AR2" s="16111"/>
      <c r="AS2" s="16111"/>
      <c r="AT2" s="16112"/>
      <c r="AU2" s="1140" t="s">
        <v>533</v>
      </c>
      <c r="AW2" s="407"/>
      <c r="AX2" s="407" t="str">
        <f t="shared" ref="AX2:AX8" si="0">IF(T2="","",T2)</f>
        <v>Наименование тарифа</v>
      </c>
      <c r="AY2" s="407"/>
      <c r="AZ2" s="407"/>
    </row>
    <row r="3" spans="1:52" ht="21" customHeight="1">
      <c r="A3" s="1240"/>
      <c r="B3" s="1240"/>
      <c r="C3" s="1240"/>
      <c r="D3" s="1240"/>
      <c r="E3" s="16125"/>
      <c r="F3" s="16124">
        <v>1</v>
      </c>
      <c r="G3" s="1240"/>
      <c r="H3" s="1240"/>
      <c r="I3" s="1240"/>
      <c r="J3" s="1240"/>
      <c r="K3" s="1240"/>
      <c r="L3" s="1241"/>
      <c r="M3" s="1242"/>
      <c r="N3" s="1242"/>
      <c r="O3" s="1242"/>
      <c r="P3" s="1287"/>
      <c r="Q3" s="1288"/>
      <c r="R3" s="269"/>
      <c r="S3" s="1214" t="e">
        <f>INDEX(PT_DIFFERENTIATION_NUM_TER,MATCH(B3,PT_DIFFERENTIATION_TER_ID,0))</f>
        <v>#N/A</v>
      </c>
      <c r="T3" s="225" t="s">
        <v>534</v>
      </c>
      <c r="U3" s="217"/>
      <c r="V3" s="16111"/>
      <c r="W3" s="16111"/>
      <c r="X3" s="16111"/>
      <c r="Y3" s="16111"/>
      <c r="Z3" s="16111"/>
      <c r="AA3" s="16112"/>
      <c r="AB3" s="16110" t="e">
        <f>INDEX(PT_DIFFERENTIATION_TER,MATCH(B3,PT_DIFFERENTIATION_TER_ID,0))</f>
        <v>#N/A</v>
      </c>
      <c r="AC3" s="16111"/>
      <c r="AD3" s="16111"/>
      <c r="AE3" s="16111"/>
      <c r="AF3" s="16111"/>
      <c r="AG3" s="16111"/>
      <c r="AH3" s="16111"/>
      <c r="AI3" s="16111"/>
      <c r="AJ3" s="16111"/>
      <c r="AK3" s="16111"/>
      <c r="AL3" s="16111"/>
      <c r="AM3" s="16111"/>
      <c r="AN3" s="16111"/>
      <c r="AO3" s="16111"/>
      <c r="AP3" s="16111"/>
      <c r="AQ3" s="16111"/>
      <c r="AR3" s="16111"/>
      <c r="AS3" s="16111"/>
      <c r="AT3" s="16112"/>
      <c r="AU3" s="1140" t="s">
        <v>535</v>
      </c>
      <c r="AW3" s="407"/>
      <c r="AX3" s="407" t="str">
        <f t="shared" si="0"/>
        <v>Территория действия тарифа</v>
      </c>
      <c r="AY3" s="407"/>
      <c r="AZ3" s="407"/>
    </row>
    <row r="4" spans="1:52" ht="22.5" customHeight="1">
      <c r="A4" s="1240"/>
      <c r="B4" s="1240"/>
      <c r="C4" s="1240"/>
      <c r="D4" s="1240"/>
      <c r="E4" s="16125"/>
      <c r="F4" s="16125"/>
      <c r="G4" s="16124">
        <v>1</v>
      </c>
      <c r="H4" s="1240"/>
      <c r="I4" s="1240"/>
      <c r="J4" s="1240"/>
      <c r="K4" s="1240"/>
      <c r="L4" s="1241"/>
      <c r="M4" s="1242"/>
      <c r="N4" s="1242"/>
      <c r="O4" s="1242"/>
      <c r="P4" s="1289"/>
      <c r="Q4" s="1288"/>
      <c r="R4" s="269"/>
      <c r="S4" s="1214" t="e">
        <f>INDEX(PT_DIFFERENTIATION_NUM_CS,MATCH(C4,PT_DIFFERENTIATION_CS_ID,0))</f>
        <v>#N/A</v>
      </c>
      <c r="T4" s="226" t="s">
        <v>536</v>
      </c>
      <c r="U4" s="217"/>
      <c r="V4" s="16111"/>
      <c r="W4" s="16111"/>
      <c r="X4" s="16111"/>
      <c r="Y4" s="16111"/>
      <c r="Z4" s="16111"/>
      <c r="AA4" s="16112"/>
      <c r="AB4" s="16110" t="e">
        <f>INDEX(PT_DIFFERENTIATION_CS,MATCH(C4,PT_DIFFERENTIATION_CS_ID,0))</f>
        <v>#N/A</v>
      </c>
      <c r="AC4" s="16111"/>
      <c r="AD4" s="16111"/>
      <c r="AE4" s="16111"/>
      <c r="AF4" s="16111"/>
      <c r="AG4" s="16111"/>
      <c r="AH4" s="16111"/>
      <c r="AI4" s="16111"/>
      <c r="AJ4" s="16111"/>
      <c r="AK4" s="16111"/>
      <c r="AL4" s="16111"/>
      <c r="AM4" s="16111"/>
      <c r="AN4" s="16111"/>
      <c r="AO4" s="16111"/>
      <c r="AP4" s="16111"/>
      <c r="AQ4" s="16111"/>
      <c r="AR4" s="16111"/>
      <c r="AS4" s="16111"/>
      <c r="AT4" s="16112"/>
      <c r="AU4" s="1140" t="s">
        <v>537</v>
      </c>
      <c r="AW4" s="407"/>
      <c r="AX4" s="407" t="str">
        <f t="shared" si="0"/>
        <v xml:space="preserve">Наименование системы теплоснабжения </v>
      </c>
      <c r="AY4" s="407"/>
      <c r="AZ4" s="407"/>
    </row>
    <row r="5" spans="1:52" ht="21" customHeight="1">
      <c r="A5" s="1240"/>
      <c r="B5" s="1240"/>
      <c r="C5" s="1240"/>
      <c r="D5" s="1240"/>
      <c r="E5" s="16125"/>
      <c r="F5" s="16125"/>
      <c r="G5" s="16125"/>
      <c r="H5" s="16124">
        <v>1</v>
      </c>
      <c r="I5" s="1240"/>
      <c r="J5" s="1240"/>
      <c r="K5" s="1240"/>
      <c r="L5" s="1241"/>
      <c r="M5" s="1242"/>
      <c r="N5" s="1242"/>
      <c r="O5" s="1242"/>
      <c r="P5" s="1289"/>
      <c r="Q5" s="1288"/>
      <c r="R5" s="269"/>
      <c r="S5" s="1214" t="e">
        <f>INDEX(PT_DIFFERENTIATION_NUM_IST_TE,MATCH(D5,PT_DIFFERENTIATION_IST_TE_ID,0))</f>
        <v>#N/A</v>
      </c>
      <c r="T5" s="227" t="s">
        <v>538</v>
      </c>
      <c r="U5" s="217"/>
      <c r="V5" s="16111"/>
      <c r="W5" s="16111"/>
      <c r="X5" s="16111"/>
      <c r="Y5" s="16111"/>
      <c r="Z5" s="16111"/>
      <c r="AA5" s="16112"/>
      <c r="AB5" s="16110" t="e">
        <f>INDEX(PT_DIFFERENTIATION_IST_TE,MATCH(D5,PT_DIFFERENTIATION_IST_TE_ID,0))</f>
        <v>#N/A</v>
      </c>
      <c r="AC5" s="16111"/>
      <c r="AD5" s="16111"/>
      <c r="AE5" s="16111"/>
      <c r="AF5" s="16111"/>
      <c r="AG5" s="16111"/>
      <c r="AH5" s="16111"/>
      <c r="AI5" s="16111"/>
      <c r="AJ5" s="16111"/>
      <c r="AK5" s="16111"/>
      <c r="AL5" s="16111"/>
      <c r="AM5" s="16111"/>
      <c r="AN5" s="16111"/>
      <c r="AO5" s="16111"/>
      <c r="AP5" s="16111"/>
      <c r="AQ5" s="16111"/>
      <c r="AR5" s="16111"/>
      <c r="AS5" s="16111"/>
      <c r="AT5" s="16112"/>
      <c r="AU5" s="1140" t="s">
        <v>539</v>
      </c>
      <c r="AW5" s="407"/>
      <c r="AX5" s="407" t="str">
        <f t="shared" si="0"/>
        <v xml:space="preserve">Источник тепловой энергии  </v>
      </c>
      <c r="AY5" s="407"/>
      <c r="AZ5" s="407"/>
    </row>
    <row r="6" spans="1:52" s="14421" customFormat="1" ht="0" hidden="1" customHeight="1">
      <c r="A6" s="1221"/>
      <c r="B6" s="1221"/>
      <c r="C6" s="1221"/>
      <c r="D6" s="1221"/>
      <c r="E6" s="16125"/>
      <c r="F6" s="16125"/>
      <c r="G6" s="16125"/>
      <c r="H6" s="16125"/>
      <c r="I6" s="16122" t="e">
        <f>S5&amp;".1"</f>
        <v>#N/A</v>
      </c>
      <c r="J6" s="1221"/>
      <c r="K6" s="1221"/>
      <c r="L6" s="1224" t="s">
        <v>540</v>
      </c>
      <c r="M6" s="417"/>
      <c r="N6" s="417"/>
      <c r="O6" s="417"/>
      <c r="P6" s="16123">
        <v>1</v>
      </c>
      <c r="Q6" s="1209"/>
      <c r="R6" s="272"/>
      <c r="S6" s="930"/>
      <c r="T6" s="1260"/>
      <c r="U6" s="1261"/>
      <c r="V6" s="16154"/>
      <c r="W6" s="16154"/>
      <c r="X6" s="16154"/>
      <c r="Y6" s="16154"/>
      <c r="Z6" s="16154"/>
      <c r="AA6" s="16155"/>
      <c r="AB6" s="16153"/>
      <c r="AC6" s="16154"/>
      <c r="AD6" s="16154"/>
      <c r="AE6" s="16154"/>
      <c r="AF6" s="16154"/>
      <c r="AG6" s="16154"/>
      <c r="AH6" s="16154"/>
      <c r="AI6" s="16154"/>
      <c r="AJ6" s="16154"/>
      <c r="AK6" s="16154"/>
      <c r="AL6" s="16154"/>
      <c r="AM6" s="16154"/>
      <c r="AN6" s="16154"/>
      <c r="AO6" s="16154"/>
      <c r="AP6" s="16154"/>
      <c r="AQ6" s="16154"/>
      <c r="AR6" s="16154"/>
      <c r="AS6" s="16154"/>
      <c r="AT6" s="16155"/>
      <c r="AU6" s="1262"/>
      <c r="AW6" s="407"/>
      <c r="AX6" s="407" t="str">
        <f t="shared" si="0"/>
        <v/>
      </c>
      <c r="AY6" s="407"/>
      <c r="AZ6" s="407"/>
    </row>
    <row r="7" spans="1:52" s="14421" customFormat="1" ht="0" hidden="1" customHeight="1">
      <c r="A7" s="1221"/>
      <c r="B7" s="1221"/>
      <c r="C7" s="1221"/>
      <c r="D7" s="1221"/>
      <c r="E7" s="16125"/>
      <c r="F7" s="16125"/>
      <c r="G7" s="16125"/>
      <c r="H7" s="16125"/>
      <c r="I7" s="16145"/>
      <c r="J7" s="16122" t="e">
        <f>S5&amp;".1"</f>
        <v>#N/A</v>
      </c>
      <c r="K7" s="1221"/>
      <c r="L7" s="1224"/>
      <c r="M7" s="417"/>
      <c r="N7" s="417"/>
      <c r="O7" s="417"/>
      <c r="P7" s="16123"/>
      <c r="Q7" s="16123">
        <v>1</v>
      </c>
      <c r="R7" s="273"/>
      <c r="S7" s="930"/>
      <c r="T7" s="1276"/>
      <c r="U7" s="1261"/>
      <c r="V7" s="16154"/>
      <c r="W7" s="16154"/>
      <c r="X7" s="16154"/>
      <c r="Y7" s="16154"/>
      <c r="Z7" s="16154"/>
      <c r="AA7" s="16155"/>
      <c r="AB7" s="16153"/>
      <c r="AC7" s="16154"/>
      <c r="AD7" s="16154"/>
      <c r="AE7" s="16154"/>
      <c r="AF7" s="16154"/>
      <c r="AG7" s="16154"/>
      <c r="AH7" s="16154"/>
      <c r="AI7" s="16154"/>
      <c r="AJ7" s="16154"/>
      <c r="AK7" s="16154"/>
      <c r="AL7" s="16154"/>
      <c r="AM7" s="16154"/>
      <c r="AN7" s="16154"/>
      <c r="AO7" s="16154"/>
      <c r="AP7" s="16154"/>
      <c r="AQ7" s="16154"/>
      <c r="AR7" s="16154"/>
      <c r="AS7" s="16154"/>
      <c r="AT7" s="16155"/>
      <c r="AU7" s="1262"/>
      <c r="AW7" s="407"/>
      <c r="AX7" s="407" t="str">
        <f t="shared" si="0"/>
        <v/>
      </c>
      <c r="AY7" s="407"/>
      <c r="AZ7" s="407"/>
    </row>
    <row r="8" spans="1:52" ht="21" customHeight="1">
      <c r="A8" s="1240"/>
      <c r="B8" s="1240"/>
      <c r="C8" s="1240"/>
      <c r="D8" s="1240"/>
      <c r="E8" s="16125"/>
      <c r="F8" s="16125"/>
      <c r="G8" s="16125"/>
      <c r="H8" s="16125"/>
      <c r="I8" s="16145"/>
      <c r="J8" s="16145"/>
      <c r="K8" s="16122" t="e">
        <f>S5&amp;".1"</f>
        <v>#N/A</v>
      </c>
      <c r="L8" s="1241"/>
      <c r="P8" s="16123"/>
      <c r="Q8" s="16123"/>
      <c r="R8" s="16180">
        <v>1</v>
      </c>
      <c r="S8" s="16174" t="e">
        <f>$K8</f>
        <v>#N/A</v>
      </c>
      <c r="T8" s="16177"/>
      <c r="U8" s="217"/>
      <c r="V8" s="649"/>
      <c r="W8" s="1139"/>
      <c r="X8" s="16127"/>
      <c r="Y8" s="15973" t="s">
        <v>66</v>
      </c>
      <c r="Z8" s="16127"/>
      <c r="AA8" s="15973" t="s">
        <v>66</v>
      </c>
      <c r="AB8" s="15973" t="s">
        <v>56</v>
      </c>
      <c r="AC8" s="16160"/>
      <c r="AD8" s="16080">
        <v>1</v>
      </c>
      <c r="AE8" s="16161"/>
      <c r="AF8" s="15973" t="s">
        <v>56</v>
      </c>
      <c r="AG8" s="16160"/>
      <c r="AH8" s="16080">
        <v>1</v>
      </c>
      <c r="AI8" s="16161"/>
      <c r="AJ8" s="15973" t="s">
        <v>56</v>
      </c>
      <c r="AK8" s="228"/>
      <c r="AL8" s="1215">
        <v>1</v>
      </c>
      <c r="AM8" s="1275"/>
      <c r="AN8" s="649"/>
      <c r="AO8" s="1139"/>
      <c r="AP8" s="1596"/>
      <c r="AQ8" s="1333" t="s">
        <v>66</v>
      </c>
      <c r="AR8" s="1596"/>
      <c r="AS8" s="1333" t="s">
        <v>66</v>
      </c>
      <c r="AT8" s="1226"/>
      <c r="AU8" s="16119" t="s">
        <v>598</v>
      </c>
      <c r="AV8" s="418" t="e">
        <f ca="1">STRCHECKDATE(V11:AT11)</f>
        <v>#NAME?</v>
      </c>
      <c r="AW8" s="407"/>
      <c r="AX8" s="407" t="str">
        <f t="shared" si="0"/>
        <v/>
      </c>
      <c r="AY8" s="407"/>
      <c r="AZ8" s="407"/>
    </row>
    <row r="9" spans="1:52" ht="11.25" customHeight="1">
      <c r="A9" s="1240"/>
      <c r="B9" s="1240"/>
      <c r="C9" s="1240"/>
      <c r="D9" s="1240"/>
      <c r="E9" s="16125"/>
      <c r="F9" s="16125"/>
      <c r="G9" s="16125"/>
      <c r="H9" s="16125"/>
      <c r="I9" s="16145"/>
      <c r="J9" s="16145"/>
      <c r="K9" s="16122"/>
      <c r="L9" s="1241"/>
      <c r="P9" s="16123"/>
      <c r="Q9" s="16123"/>
      <c r="R9" s="16180"/>
      <c r="S9" s="16175"/>
      <c r="T9" s="16178"/>
      <c r="U9" s="217"/>
      <c r="V9" s="1270"/>
      <c r="W9" s="1274"/>
      <c r="X9" s="16127"/>
      <c r="Y9" s="15973"/>
      <c r="Z9" s="16127"/>
      <c r="AA9" s="15973"/>
      <c r="AB9" s="15973"/>
      <c r="AC9" s="16160"/>
      <c r="AD9" s="16080"/>
      <c r="AE9" s="16161"/>
      <c r="AF9" s="15973"/>
      <c r="AG9" s="16160"/>
      <c r="AH9" s="16080"/>
      <c r="AI9" s="16161"/>
      <c r="AJ9" s="15973"/>
      <c r="AK9" s="233"/>
      <c r="AL9" s="331"/>
      <c r="AM9" s="330" t="s">
        <v>599</v>
      </c>
      <c r="AN9" s="1270"/>
      <c r="AO9" s="1367"/>
      <c r="AP9" s="1270"/>
      <c r="AQ9" s="1270"/>
      <c r="AR9" s="1270"/>
      <c r="AS9" s="1270"/>
      <c r="AT9" s="1267"/>
      <c r="AU9" s="16120"/>
      <c r="AW9" s="407"/>
      <c r="AX9" s="407"/>
      <c r="AY9" s="407"/>
      <c r="AZ9" s="407"/>
    </row>
    <row r="10" spans="1:52" ht="11.25" customHeight="1">
      <c r="A10" s="1240"/>
      <c r="B10" s="1240"/>
      <c r="C10" s="1240"/>
      <c r="D10" s="1240"/>
      <c r="E10" s="16125"/>
      <c r="F10" s="16125"/>
      <c r="G10" s="16125"/>
      <c r="H10" s="16125"/>
      <c r="I10" s="16145"/>
      <c r="J10" s="16145"/>
      <c r="K10" s="16122"/>
      <c r="L10" s="1241"/>
      <c r="P10" s="16123"/>
      <c r="Q10" s="16123"/>
      <c r="R10" s="16180"/>
      <c r="S10" s="16175"/>
      <c r="T10" s="16178"/>
      <c r="U10" s="217"/>
      <c r="V10" s="1270"/>
      <c r="W10" s="1274"/>
      <c r="X10" s="16127"/>
      <c r="Y10" s="15973"/>
      <c r="Z10" s="16127"/>
      <c r="AA10" s="15973"/>
      <c r="AB10" s="15973"/>
      <c r="AC10" s="16160"/>
      <c r="AD10" s="16080"/>
      <c r="AE10" s="16161"/>
      <c r="AF10" s="15973"/>
      <c r="AG10" s="211"/>
      <c r="AH10" s="330"/>
      <c r="AI10" s="330" t="s">
        <v>600</v>
      </c>
      <c r="AJ10" s="1270"/>
      <c r="AK10" s="1270"/>
      <c r="AL10" s="1270"/>
      <c r="AM10" s="1270"/>
      <c r="AN10" s="1270"/>
      <c r="AO10" s="1367"/>
      <c r="AP10" s="1270"/>
      <c r="AQ10" s="1270"/>
      <c r="AR10" s="1270"/>
      <c r="AS10" s="1270"/>
      <c r="AT10" s="1267"/>
      <c r="AU10" s="16120"/>
      <c r="AW10" s="407"/>
      <c r="AX10" s="407"/>
      <c r="AY10" s="407"/>
      <c r="AZ10" s="407"/>
    </row>
    <row r="11" spans="1:52" ht="11.25" customHeight="1">
      <c r="A11" s="1240"/>
      <c r="B11" s="1240"/>
      <c r="C11" s="1240"/>
      <c r="D11" s="1240"/>
      <c r="E11" s="16125"/>
      <c r="F11" s="16125"/>
      <c r="G11" s="16125"/>
      <c r="H11" s="16125"/>
      <c r="I11" s="16145"/>
      <c r="J11" s="16145"/>
      <c r="K11" s="16122"/>
      <c r="L11" s="1241"/>
      <c r="P11" s="16123"/>
      <c r="Q11" s="16123"/>
      <c r="R11" s="16180"/>
      <c r="S11" s="16176"/>
      <c r="T11" s="16179"/>
      <c r="U11" s="217"/>
      <c r="V11" s="1270"/>
      <c r="W11" s="1273" t="str">
        <f>X8&amp;"-"&amp;Z8</f>
        <v>-</v>
      </c>
      <c r="X11" s="16128"/>
      <c r="Y11" s="15973"/>
      <c r="Z11" s="16128"/>
      <c r="AA11" s="15973"/>
      <c r="AB11" s="15973"/>
      <c r="AC11" s="229"/>
      <c r="AD11" s="231"/>
      <c r="AE11" s="330" t="s">
        <v>601</v>
      </c>
      <c r="AF11" s="1270"/>
      <c r="AG11" s="1270"/>
      <c r="AH11" s="1270"/>
      <c r="AI11" s="1270"/>
      <c r="AJ11" s="1270"/>
      <c r="AK11" s="1270"/>
      <c r="AL11" s="1270"/>
      <c r="AM11" s="1270"/>
      <c r="AN11" s="1270"/>
      <c r="AO11" s="1271" t="str">
        <f>AP8&amp;"-"&amp;AR8</f>
        <v>-</v>
      </c>
      <c r="AP11" s="1270"/>
      <c r="AQ11" s="1270"/>
      <c r="AR11" s="1270"/>
      <c r="AS11" s="1270"/>
      <c r="AT11" s="1227"/>
      <c r="AU11" s="16120"/>
      <c r="AW11" s="407"/>
      <c r="AX11" s="407" t="str">
        <f t="shared" ref="AX11:AX17" si="1">IF(T11="","",T11)</f>
        <v/>
      </c>
      <c r="AY11" s="407"/>
      <c r="AZ11" s="407"/>
    </row>
    <row r="12" spans="1:52" ht="11.25" customHeight="1">
      <c r="A12" s="1240"/>
      <c r="B12" s="1240"/>
      <c r="C12" s="1240"/>
      <c r="D12" s="1240"/>
      <c r="E12" s="16125"/>
      <c r="F12" s="16125"/>
      <c r="G12" s="16125"/>
      <c r="H12" s="16125"/>
      <c r="I12" s="16145"/>
      <c r="J12" s="16122"/>
      <c r="K12" s="1240"/>
      <c r="L12" s="1241"/>
      <c r="P12" s="16123"/>
      <c r="Q12" s="16123"/>
      <c r="R12" s="272"/>
      <c r="S12" s="1160"/>
      <c r="T12" s="204" t="s">
        <v>602</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16121"/>
      <c r="AW12" s="407"/>
      <c r="AX12" s="407" t="str">
        <f t="shared" si="1"/>
        <v>Добавить строку</v>
      </c>
      <c r="AY12" s="407"/>
      <c r="AZ12" s="407"/>
    </row>
    <row r="13" spans="1:52" s="14421" customFormat="1" ht="0" hidden="1" customHeight="1">
      <c r="A13" s="1221"/>
      <c r="B13" s="1221"/>
      <c r="C13" s="1221"/>
      <c r="D13" s="1221"/>
      <c r="E13" s="16125"/>
      <c r="F13" s="16125"/>
      <c r="G13" s="16125"/>
      <c r="H13" s="16125"/>
      <c r="I13" s="16122"/>
      <c r="J13" s="1221"/>
      <c r="K13" s="1221"/>
      <c r="L13" s="1224"/>
      <c r="M13" s="417"/>
      <c r="N13" s="417"/>
      <c r="O13" s="417"/>
      <c r="P13" s="16123"/>
      <c r="Q13" s="1209"/>
      <c r="R13" s="272"/>
      <c r="S13" s="1263"/>
      <c r="T13" s="1264"/>
      <c r="U13" s="1265"/>
      <c r="V13" s="1265"/>
      <c r="W13" s="1265"/>
      <c r="X13" s="1265"/>
      <c r="Y13" s="1265"/>
      <c r="Z13" s="1265"/>
      <c r="AA13" s="1265"/>
      <c r="AB13" s="1265"/>
      <c r="AC13" s="1265"/>
      <c r="AD13" s="1265"/>
      <c r="AE13" s="1265"/>
      <c r="AF13" s="1265"/>
      <c r="AG13" s="1265"/>
      <c r="AH13" s="1265"/>
      <c r="AI13" s="1265"/>
      <c r="AJ13" s="1265"/>
      <c r="AK13" s="1265"/>
      <c r="AL13" s="1265"/>
      <c r="AM13" s="1265"/>
      <c r="AN13" s="1265"/>
      <c r="AO13" s="1265"/>
      <c r="AP13" s="1265"/>
      <c r="AQ13" s="1265"/>
      <c r="AR13" s="1265"/>
      <c r="AS13" s="1265"/>
      <c r="AT13" s="1265"/>
      <c r="AU13" s="1266"/>
      <c r="AW13" s="407"/>
      <c r="AX13" s="407" t="str">
        <f t="shared" si="1"/>
        <v/>
      </c>
      <c r="AY13" s="407"/>
      <c r="AZ13" s="407"/>
    </row>
    <row r="14" spans="1:52" s="14421" customFormat="1" ht="0" hidden="1" customHeight="1">
      <c r="A14" s="1221"/>
      <c r="B14" s="1221"/>
      <c r="C14" s="1221"/>
      <c r="D14" s="1221"/>
      <c r="E14" s="16125"/>
      <c r="F14" s="16125"/>
      <c r="G14" s="16125"/>
      <c r="H14" s="16124"/>
      <c r="I14" s="1221"/>
      <c r="J14" s="1221"/>
      <c r="K14" s="1221"/>
      <c r="L14" s="1224"/>
      <c r="M14" s="1194"/>
      <c r="N14" s="1194"/>
      <c r="O14" s="425"/>
      <c r="P14" s="295"/>
      <c r="Q14" s="1222"/>
      <c r="R14" s="1278"/>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6"/>
      <c r="AW14" s="407"/>
      <c r="AX14" s="407" t="str">
        <f t="shared" si="1"/>
        <v/>
      </c>
      <c r="AY14" s="407"/>
      <c r="AZ14" s="407"/>
    </row>
    <row r="15" spans="1:52" s="14418" customFormat="1" ht="0" hidden="1" customHeight="1">
      <c r="A15" s="1221"/>
      <c r="B15" s="1221"/>
      <c r="C15" s="1221"/>
      <c r="D15" s="1193"/>
      <c r="E15" s="16125"/>
      <c r="F15" s="16125"/>
      <c r="G15" s="16124"/>
      <c r="H15" s="1193"/>
      <c r="I15" s="1193"/>
      <c r="J15" s="1193"/>
      <c r="K15" s="1193"/>
      <c r="L15" s="1217"/>
      <c r="M15" s="1194"/>
      <c r="N15" s="1194"/>
      <c r="P15" s="1195"/>
      <c r="Q15" s="1196"/>
      <c r="R15" s="1195"/>
      <c r="S15" s="1201"/>
      <c r="T15" s="1204" t="s">
        <v>551</v>
      </c>
      <c r="U15" s="1203"/>
      <c r="V15" s="1203"/>
      <c r="W15" s="1203"/>
      <c r="X15" s="1203"/>
      <c r="Y15" s="1203"/>
      <c r="Z15" s="1203"/>
      <c r="AA15" s="1203"/>
      <c r="AB15" s="1203"/>
      <c r="AC15" s="1203"/>
      <c r="AD15" s="1203"/>
      <c r="AE15" s="1203"/>
      <c r="AF15" s="1203"/>
      <c r="AG15" s="1203"/>
      <c r="AH15" s="1203"/>
      <c r="AI15" s="1203"/>
      <c r="AJ15" s="1203"/>
      <c r="AK15" s="1203"/>
      <c r="AL15" s="1203"/>
      <c r="AM15" s="1203"/>
      <c r="AN15" s="1203"/>
      <c r="AO15" s="1203"/>
      <c r="AP15" s="1203"/>
      <c r="AQ15" s="1203"/>
      <c r="AR15" s="1203"/>
      <c r="AS15" s="1203"/>
      <c r="AT15" s="1203"/>
      <c r="AU15" s="1203"/>
      <c r="AW15" s="687"/>
      <c r="AX15" s="687" t="str">
        <f t="shared" si="1"/>
        <v>Добавить источник для дифференциации</v>
      </c>
      <c r="AY15" s="687"/>
      <c r="AZ15" s="687"/>
    </row>
    <row r="16" spans="1:52" s="14418" customFormat="1" ht="0" hidden="1" customHeight="1">
      <c r="A16" s="1221"/>
      <c r="B16" s="1221"/>
      <c r="C16" s="1193"/>
      <c r="D16" s="1193"/>
      <c r="E16" s="16125"/>
      <c r="F16" s="16124"/>
      <c r="G16" s="1193"/>
      <c r="H16" s="1193"/>
      <c r="I16" s="1193"/>
      <c r="J16" s="1193"/>
      <c r="K16" s="1193"/>
      <c r="L16" s="1217"/>
      <c r="M16" s="1200"/>
      <c r="N16" s="1200"/>
      <c r="P16" s="1195"/>
      <c r="Q16" s="1196"/>
      <c r="R16" s="1195"/>
      <c r="S16" s="1201"/>
      <c r="T16" s="1204" t="s">
        <v>290</v>
      </c>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W16" s="687"/>
      <c r="AX16" s="687" t="str">
        <f t="shared" si="1"/>
        <v>Добавить централизованную систему для дифференциации</v>
      </c>
      <c r="AY16" s="687"/>
      <c r="AZ16" s="687"/>
    </row>
    <row r="17" spans="1:52" s="14421" customFormat="1" ht="0" hidden="1" customHeight="1">
      <c r="A17" s="1221"/>
      <c r="B17" s="1221"/>
      <c r="C17" s="1221"/>
      <c r="D17" s="1221"/>
      <c r="E17" s="16124"/>
      <c r="F17" s="1221"/>
      <c r="G17" s="1221"/>
      <c r="H17" s="1221"/>
      <c r="I17" s="1221"/>
      <c r="J17" s="1221"/>
      <c r="K17" s="1221"/>
      <c r="L17" s="1224"/>
      <c r="M17" s="1200"/>
      <c r="N17" s="1200"/>
      <c r="O17" s="425"/>
      <c r="P17" s="295"/>
      <c r="Q17" s="1222"/>
      <c r="R17" s="295"/>
      <c r="S17" s="1201"/>
      <c r="T17" s="1204" t="s">
        <v>326</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W17" s="407"/>
      <c r="AX17" s="407" t="str">
        <f t="shared" si="1"/>
        <v>Добавить территорию для дифференциации</v>
      </c>
      <c r="AY17" s="407"/>
      <c r="AZ17" s="407"/>
    </row>
    <row r="18" spans="1:52" ht="14.25" customHeight="1">
      <c r="AA18" s="244"/>
      <c r="AS18" s="244"/>
    </row>
    <row r="19" spans="1:52" ht="14.25" customHeight="1">
      <c r="AB19" s="1203" t="s">
        <v>56</v>
      </c>
      <c r="AC19" s="1372"/>
      <c r="AD19" s="454">
        <v>1</v>
      </c>
      <c r="AE19" s="1373"/>
      <c r="AF19" s="1203" t="s">
        <v>56</v>
      </c>
      <c r="AG19" s="1372"/>
      <c r="AH19" s="454">
        <v>1</v>
      </c>
      <c r="AI19" s="1373"/>
      <c r="AJ19" s="1203" t="s">
        <v>56</v>
      </c>
      <c r="AK19" s="1374"/>
      <c r="AL19" s="454">
        <v>1</v>
      </c>
      <c r="AM19" s="1377"/>
      <c r="AN19" s="1280"/>
      <c r="AO19" s="1281"/>
      <c r="AP19" s="1598"/>
      <c r="AQ19" s="1334" t="s">
        <v>66</v>
      </c>
      <c r="AR19" s="1598"/>
      <c r="AS19" s="1334" t="s">
        <v>66</v>
      </c>
    </row>
    <row r="20" spans="1:52" ht="14.25" customHeight="1">
      <c r="AV20" s="403"/>
      <c r="AW20" s="403"/>
      <c r="AX20" s="403"/>
      <c r="AY20" s="403"/>
      <c r="AZ20" s="403"/>
    </row>
    <row r="21" spans="1:52" ht="14.25" customHeight="1">
      <c r="O21" s="1244" t="s">
        <v>552</v>
      </c>
      <c r="X21" s="1223"/>
      <c r="Z21" s="1223"/>
      <c r="AA21" s="244"/>
      <c r="AP21" s="1223"/>
      <c r="AR21" s="1223"/>
      <c r="AS21" s="244"/>
      <c r="AV21" s="403"/>
      <c r="AW21" s="403"/>
      <c r="AX21" s="403"/>
      <c r="AY21" s="403"/>
      <c r="AZ21" s="403"/>
    </row>
    <row r="22" spans="1:52" ht="14.25" customHeight="1">
      <c r="AA22" s="244"/>
      <c r="AS22" s="244"/>
      <c r="AV22" s="403"/>
      <c r="AW22" s="403"/>
      <c r="AX22" s="403"/>
      <c r="AY22" s="403"/>
      <c r="AZ22" s="403"/>
    </row>
    <row r="23" spans="1:52" s="14438" customFormat="1" ht="14.25" customHeight="1">
      <c r="M23" s="1379"/>
      <c r="N23" s="1379"/>
      <c r="O23" s="1380" t="s">
        <v>553</v>
      </c>
      <c r="P23" s="1379"/>
      <c r="Q23" s="1381"/>
      <c r="R23" s="1381"/>
      <c r="Y23" s="1378" t="s">
        <v>555</v>
      </c>
      <c r="AA23" s="1378" t="s">
        <v>556</v>
      </c>
      <c r="AB23" s="1378" t="s">
        <v>603</v>
      </c>
      <c r="AE23" s="1378" t="s">
        <v>604</v>
      </c>
      <c r="AF23" s="1378" t="s">
        <v>603</v>
      </c>
      <c r="AI23" s="1378" t="s">
        <v>605</v>
      </c>
      <c r="AJ23" s="1378" t="s">
        <v>603</v>
      </c>
      <c r="AM23" s="1378" t="s">
        <v>606</v>
      </c>
      <c r="AQ23" s="1378" t="s">
        <v>555</v>
      </c>
      <c r="AS23" s="1378" t="s">
        <v>556</v>
      </c>
      <c r="AV23" s="1382"/>
      <c r="AW23" s="1382"/>
      <c r="AX23" s="1382"/>
      <c r="AY23" s="1382"/>
      <c r="AZ23" s="1382"/>
    </row>
    <row r="24" spans="1:52" ht="14.25" customHeight="1">
      <c r="O24" s="1241"/>
      <c r="AV24" s="403"/>
      <c r="AW24" s="403"/>
      <c r="AX24" s="403"/>
      <c r="AY24" s="403"/>
      <c r="AZ24" s="403"/>
    </row>
    <row r="25" spans="1:52" ht="14.25" customHeight="1">
      <c r="O25" s="1241"/>
      <c r="AV25" s="403"/>
      <c r="AW25" s="403"/>
      <c r="AX25" s="403"/>
      <c r="AY25" s="403"/>
      <c r="AZ25" s="403"/>
    </row>
    <row r="26" spans="1:52" ht="14.25" customHeight="1">
      <c r="Q26" s="208"/>
      <c r="R26" s="291"/>
      <c r="S26" s="1157"/>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1610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6108"/>
      <c r="U27" s="16108"/>
      <c r="V27" s="16108"/>
      <c r="W27" s="16108"/>
      <c r="X27" s="16108"/>
      <c r="Y27" s="16108"/>
      <c r="Z27" s="16108"/>
      <c r="AA27" s="16108"/>
      <c r="AB27" s="16108"/>
      <c r="AC27" s="16108"/>
      <c r="AD27" s="16108"/>
      <c r="AE27" s="16108"/>
      <c r="AF27" s="16108"/>
      <c r="AG27" s="16108"/>
      <c r="AH27" s="16108"/>
      <c r="AI27" s="16108"/>
      <c r="AJ27" s="16108"/>
      <c r="AK27" s="16108"/>
      <c r="AL27" s="16108"/>
      <c r="AM27" s="16108"/>
      <c r="AN27" s="16108"/>
      <c r="AO27" s="16108"/>
      <c r="AP27" s="16108"/>
      <c r="AQ27" s="16108"/>
      <c r="AR27" s="16108"/>
      <c r="AS27" s="1125"/>
    </row>
    <row r="28" spans="1:52" ht="14.25" customHeight="1">
      <c r="Q28" s="208"/>
      <c r="R28" s="291"/>
      <c r="S28" s="16056" t="str">
        <f>IF(org=0,"Не определено",org)</f>
        <v>АО "Мурманэнергосбыт"</v>
      </c>
      <c r="T28" s="16056"/>
      <c r="U28" s="16056"/>
      <c r="V28" s="16056"/>
      <c r="W28" s="16056"/>
      <c r="X28" s="16056"/>
      <c r="Y28" s="16056"/>
      <c r="Z28" s="16056"/>
      <c r="AA28" s="16056"/>
      <c r="AB28" s="16056"/>
      <c r="AC28" s="16056"/>
      <c r="AD28" s="16056"/>
      <c r="AE28" s="16056"/>
      <c r="AF28" s="16056"/>
      <c r="AG28" s="16056"/>
      <c r="AH28" s="16056"/>
      <c r="AI28" s="16056"/>
      <c r="AJ28" s="16056"/>
      <c r="AK28" s="16056"/>
      <c r="AL28" s="16056"/>
      <c r="AM28" s="16056"/>
      <c r="AN28" s="16056"/>
      <c r="AO28" s="16056"/>
      <c r="AP28" s="16056"/>
      <c r="AQ28" s="16056"/>
      <c r="AR28" s="16056"/>
      <c r="AS28" s="1125"/>
    </row>
    <row r="29" spans="1:52" ht="14.25" customHeight="1">
      <c r="Q29" s="208"/>
      <c r="R29" s="291"/>
      <c r="S29" s="1157"/>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4420" customFormat="1" ht="25.5" customHeight="1">
      <c r="A30" s="1245"/>
      <c r="B30" s="1245"/>
      <c r="C30" s="1245"/>
      <c r="D30" s="1245"/>
      <c r="E30" s="1245"/>
      <c r="F30" s="1245"/>
      <c r="G30" s="1245"/>
      <c r="H30" s="1245"/>
      <c r="I30" s="1245"/>
      <c r="J30" s="1245"/>
      <c r="K30" s="1245"/>
      <c r="L30" s="1246"/>
      <c r="M30" s="1245"/>
      <c r="N30" s="1245"/>
      <c r="O30" s="1245"/>
      <c r="P30" s="1245"/>
      <c r="Q30" s="1245"/>
      <c r="S30" s="16116" t="s">
        <v>38</v>
      </c>
      <c r="T30" s="16116"/>
      <c r="U30" s="1249"/>
      <c r="V30" s="16117" t="str">
        <f>IF(TITLE_NAME_OR_PR_CHANGE="",IF(TITLE_NAME_OR_PR="","",TITLE_NAME_OR_PR),TITLE_NAME_OR_PR_CHANGE)</f>
        <v>Комитет по тарифному регулированию Мурманской области</v>
      </c>
      <c r="W30" s="16117"/>
      <c r="X30" s="16117"/>
      <c r="Y30" s="16117"/>
      <c r="Z30" s="16117"/>
      <c r="AA30" s="243"/>
      <c r="AB30" s="16117" t="str">
        <f>IF(TITLE_NAME_OR_PR_CHANGE="",IF(TITLE_NAME_OR_PR="","",TITLE_NAME_OR_PR),TITLE_NAME_OR_PR_CHANGE)</f>
        <v>Комитет по тарифному регулированию Мурманской области</v>
      </c>
      <c r="AC30" s="16117"/>
      <c r="AD30" s="16117"/>
      <c r="AE30" s="16117"/>
      <c r="AF30" s="16117"/>
      <c r="AG30" s="16117"/>
      <c r="AH30" s="16117"/>
      <c r="AI30" s="16117"/>
      <c r="AJ30" s="16117"/>
      <c r="AK30" s="16117"/>
      <c r="AL30" s="16117"/>
      <c r="AM30" s="16117"/>
      <c r="AN30" s="16117"/>
      <c r="AO30" s="16117"/>
      <c r="AP30" s="16117"/>
      <c r="AQ30" s="16117"/>
      <c r="AR30" s="16117"/>
      <c r="AS30" s="243"/>
      <c r="AT30" s="243"/>
      <c r="AU30" s="198"/>
      <c r="AV30" s="283"/>
      <c r="AW30" s="283"/>
      <c r="AX30" s="283"/>
      <c r="AY30" s="283"/>
      <c r="AZ30" s="283"/>
    </row>
    <row r="31" spans="1:52" s="14420" customFormat="1" ht="18.75" customHeight="1">
      <c r="A31" s="1245"/>
      <c r="B31" s="1245"/>
      <c r="C31" s="1245"/>
      <c r="D31" s="1245"/>
      <c r="E31" s="1245"/>
      <c r="F31" s="1245"/>
      <c r="G31" s="1245"/>
      <c r="H31" s="1245"/>
      <c r="I31" s="1245"/>
      <c r="J31" s="1245"/>
      <c r="K31" s="1245"/>
      <c r="L31" s="1246"/>
      <c r="M31" s="1245"/>
      <c r="N31" s="1245"/>
      <c r="O31" s="1245"/>
      <c r="P31" s="1245"/>
      <c r="Q31" s="1245"/>
      <c r="S31" s="16116" t="s">
        <v>558</v>
      </c>
      <c r="T31" s="16116"/>
      <c r="U31" s="1249"/>
      <c r="V31" s="16126">
        <f>IF(TITLE_DATE_PR_CHANGE="",IF(TITLE_DATE_PR="","",TITLE_DATE_PR),TITLE_DATE_PR_CHANGE)</f>
        <v>45379</v>
      </c>
      <c r="W31" s="16126"/>
      <c r="X31" s="16126"/>
      <c r="Y31" s="16126"/>
      <c r="Z31" s="16126"/>
      <c r="AA31" s="243"/>
      <c r="AB31" s="16126">
        <f>IF(TITLE_DATE_PR_CHANGE="",IF(TITLE_DATE_PR="","",TITLE_DATE_PR),TITLE_DATE_PR_CHANGE)</f>
        <v>45379</v>
      </c>
      <c r="AC31" s="16126"/>
      <c r="AD31" s="16126"/>
      <c r="AE31" s="16126"/>
      <c r="AF31" s="16126"/>
      <c r="AG31" s="16126"/>
      <c r="AH31" s="16126"/>
      <c r="AI31" s="16126"/>
      <c r="AJ31" s="16126"/>
      <c r="AK31" s="16126"/>
      <c r="AL31" s="16126"/>
      <c r="AM31" s="16126"/>
      <c r="AN31" s="16126"/>
      <c r="AO31" s="16126"/>
      <c r="AP31" s="16126"/>
      <c r="AQ31" s="16126"/>
      <c r="AR31" s="16126"/>
      <c r="AS31" s="243"/>
      <c r="AT31" s="243"/>
      <c r="AU31" s="198"/>
      <c r="AV31" s="283"/>
      <c r="AW31" s="283"/>
      <c r="AX31" s="283"/>
      <c r="AY31" s="283"/>
      <c r="AZ31" s="283"/>
    </row>
    <row r="32" spans="1:52" s="14420" customFormat="1" ht="18.75" customHeight="1">
      <c r="A32" s="1245"/>
      <c r="B32" s="1245"/>
      <c r="C32" s="1245"/>
      <c r="D32" s="1245"/>
      <c r="E32" s="1245"/>
      <c r="F32" s="1245"/>
      <c r="G32" s="1245"/>
      <c r="H32" s="1245"/>
      <c r="I32" s="1245"/>
      <c r="J32" s="1245"/>
      <c r="K32" s="1245"/>
      <c r="L32" s="1246"/>
      <c r="M32" s="1245"/>
      <c r="N32" s="1245"/>
      <c r="O32" s="1245"/>
      <c r="P32" s="1245"/>
      <c r="Q32" s="1245"/>
      <c r="S32" s="16116" t="s">
        <v>559</v>
      </c>
      <c r="T32" s="16116"/>
      <c r="U32" s="1249"/>
      <c r="V32" s="16117" t="str">
        <f>IF(TITLE_NUMBER_PR_CHANGE="",IF(TITLE_NUMBER_PR="","",TITLE_NUMBER_PR),TITLE_NUMBER_PR_CHANGE)</f>
        <v>8/6</v>
      </c>
      <c r="W32" s="16117"/>
      <c r="X32" s="16117"/>
      <c r="Y32" s="16117"/>
      <c r="Z32" s="16117"/>
      <c r="AA32" s="243"/>
      <c r="AB32" s="16117" t="str">
        <f>IF(TITLE_NUMBER_PR_CHANGE="",IF(TITLE_NUMBER_PR="","",TITLE_NUMBER_PR),TITLE_NUMBER_PR_CHANGE)</f>
        <v>8/6</v>
      </c>
      <c r="AC32" s="16117"/>
      <c r="AD32" s="16117"/>
      <c r="AE32" s="16117"/>
      <c r="AF32" s="16117"/>
      <c r="AG32" s="16117"/>
      <c r="AH32" s="16117"/>
      <c r="AI32" s="16117"/>
      <c r="AJ32" s="16117"/>
      <c r="AK32" s="16117"/>
      <c r="AL32" s="16117"/>
      <c r="AM32" s="16117"/>
      <c r="AN32" s="16117"/>
      <c r="AO32" s="16117"/>
      <c r="AP32" s="16117"/>
      <c r="AQ32" s="16117"/>
      <c r="AR32" s="16117"/>
      <c r="AS32" s="243"/>
      <c r="AT32" s="243"/>
      <c r="AU32" s="198"/>
      <c r="AV32" s="283"/>
      <c r="AW32" s="283"/>
      <c r="AX32" s="283"/>
      <c r="AY32" s="283"/>
      <c r="AZ32" s="283"/>
    </row>
    <row r="33" spans="1:52" s="14420" customFormat="1" ht="18.75" customHeight="1">
      <c r="A33" s="1245"/>
      <c r="B33" s="1245"/>
      <c r="C33" s="1245"/>
      <c r="D33" s="1245"/>
      <c r="E33" s="1245"/>
      <c r="F33" s="1245"/>
      <c r="G33" s="1245"/>
      <c r="H33" s="1245"/>
      <c r="I33" s="1245"/>
      <c r="J33" s="1245"/>
      <c r="K33" s="1245"/>
      <c r="L33" s="1246"/>
      <c r="M33" s="1245"/>
      <c r="N33" s="1245"/>
      <c r="O33" s="1245"/>
      <c r="P33" s="1245"/>
      <c r="Q33" s="1245"/>
      <c r="S33" s="16116" t="s">
        <v>40</v>
      </c>
      <c r="T33" s="16116"/>
      <c r="U33" s="1249"/>
      <c r="V33" s="16117" t="str">
        <f>IF(TITLE_IST_PUB_CHANGE="",IF(TITLE_IST_PUB="","",TITLE_IST_PUB),TITLE_IST_PUB_CHANGE)</f>
        <v>https://npa.gov-murman.ru/bitrix/components/b1team/govmurman.element.file/download.php?ID=518761&amp;FID=765125</v>
      </c>
      <c r="W33" s="16117"/>
      <c r="X33" s="16117"/>
      <c r="Y33" s="16117"/>
      <c r="Z33" s="16117"/>
      <c r="AA33" s="243"/>
      <c r="AB33" s="16117" t="str">
        <f>IF(TITLE_IST_PUB_CHANGE="",IF(TITLE_IST_PUB="","",TITLE_IST_PUB),TITLE_IST_PUB_CHANGE)</f>
        <v>https://npa.gov-murman.ru/bitrix/components/b1team/govmurman.element.file/download.php?ID=518761&amp;FID=765125</v>
      </c>
      <c r="AC33" s="16117"/>
      <c r="AD33" s="16117"/>
      <c r="AE33" s="16117"/>
      <c r="AF33" s="16117"/>
      <c r="AG33" s="16117"/>
      <c r="AH33" s="16117"/>
      <c r="AI33" s="16117"/>
      <c r="AJ33" s="16117"/>
      <c r="AK33" s="16117"/>
      <c r="AL33" s="16117"/>
      <c r="AM33" s="16117"/>
      <c r="AN33" s="16117"/>
      <c r="AO33" s="16117"/>
      <c r="AP33" s="16117"/>
      <c r="AQ33" s="16117"/>
      <c r="AR33" s="16117"/>
      <c r="AS33" s="243"/>
      <c r="AT33" s="243"/>
      <c r="AU33" s="198"/>
      <c r="AV33" s="283"/>
      <c r="AW33" s="283"/>
      <c r="AX33" s="283"/>
      <c r="AY33" s="283"/>
      <c r="AZ33" s="283"/>
    </row>
    <row r="34" spans="1:52" ht="14.25" hidden="1" customHeight="1">
      <c r="Q34" s="208"/>
      <c r="R34" s="291"/>
      <c r="S34" s="1157"/>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4420" customFormat="1" ht="18.75" hidden="1" customHeight="1">
      <c r="A35" s="1245"/>
      <c r="B35" s="1245"/>
      <c r="C35" s="1245"/>
      <c r="D35" s="1245"/>
      <c r="E35" s="1245"/>
      <c r="F35" s="1245"/>
      <c r="G35" s="1245"/>
      <c r="H35" s="1245"/>
      <c r="I35" s="1245"/>
      <c r="J35" s="1245"/>
      <c r="K35" s="1245"/>
      <c r="L35" s="1246"/>
      <c r="M35" s="1245"/>
      <c r="N35" s="1245"/>
      <c r="O35" s="1245"/>
      <c r="P35" s="1245"/>
      <c r="Q35" s="1245"/>
      <c r="S35" s="16116" t="s">
        <v>558</v>
      </c>
      <c r="T35" s="16116"/>
      <c r="U35" s="1249"/>
      <c r="V35" s="16126">
        <f>IF(TITLE_DATE_PR_CHANGE="",IF(TITLE_DATE_PR="","",TITLE_DATE_PR),TITLE_DATE_PR_CHANGE)</f>
        <v>45379</v>
      </c>
      <c r="W35" s="16126"/>
      <c r="X35" s="16126"/>
      <c r="Y35" s="16126"/>
      <c r="Z35" s="16126"/>
      <c r="AA35" s="243"/>
      <c r="AB35" s="16126">
        <f>IF(TITLE_DATE_PR_CHANGE="",IF(TITLE_DATE_PR="","",TITLE_DATE_PR),TITLE_DATE_PR_CHANGE)</f>
        <v>45379</v>
      </c>
      <c r="AC35" s="16126"/>
      <c r="AD35" s="16126"/>
      <c r="AE35" s="16126"/>
      <c r="AF35" s="16126"/>
      <c r="AG35" s="16126"/>
      <c r="AH35" s="16126"/>
      <c r="AI35" s="16126"/>
      <c r="AJ35" s="16126"/>
      <c r="AK35" s="16126"/>
      <c r="AL35" s="16126"/>
      <c r="AM35" s="16126"/>
      <c r="AN35" s="16126"/>
      <c r="AO35" s="16126"/>
      <c r="AP35" s="16126"/>
      <c r="AQ35" s="16126"/>
      <c r="AR35" s="16126"/>
      <c r="AS35" s="243"/>
      <c r="AT35" s="243"/>
      <c r="AU35" s="198"/>
      <c r="AV35" s="283"/>
      <c r="AW35" s="283"/>
      <c r="AX35" s="283"/>
      <c r="AY35" s="283"/>
      <c r="AZ35" s="283"/>
    </row>
    <row r="36" spans="1:52" s="14420" customFormat="1" ht="18" hidden="1" customHeight="1">
      <c r="A36" s="1245"/>
      <c r="B36" s="1245"/>
      <c r="C36" s="1245"/>
      <c r="D36" s="1245"/>
      <c r="E36" s="1245"/>
      <c r="F36" s="1245"/>
      <c r="G36" s="1245"/>
      <c r="H36" s="1245"/>
      <c r="I36" s="1245"/>
      <c r="J36" s="1245"/>
      <c r="K36" s="1245"/>
      <c r="L36" s="1246"/>
      <c r="M36" s="1245"/>
      <c r="N36" s="1245"/>
      <c r="O36" s="1245"/>
      <c r="P36" s="1245"/>
      <c r="Q36" s="1245"/>
      <c r="S36" s="16116" t="s">
        <v>559</v>
      </c>
      <c r="T36" s="16116"/>
      <c r="U36" s="1249"/>
      <c r="V36" s="16117" t="str">
        <f>IF(TITLE_NUMBER_PR_CHANGE="",IF(TITLE_NUMBER_PR="","",TITLE_NUMBER_PR),TITLE_NUMBER_PR_CHANGE)</f>
        <v>8/6</v>
      </c>
      <c r="W36" s="16117"/>
      <c r="X36" s="16117"/>
      <c r="Y36" s="16117"/>
      <c r="Z36" s="16117"/>
      <c r="AA36" s="243"/>
      <c r="AB36" s="16117" t="str">
        <f>IF(TITLE_NUMBER_PR_CHANGE="",IF(TITLE_NUMBER_PR="","",TITLE_NUMBER_PR),TITLE_NUMBER_PR_CHANGE)</f>
        <v>8/6</v>
      </c>
      <c r="AC36" s="16117"/>
      <c r="AD36" s="16117"/>
      <c r="AE36" s="16117"/>
      <c r="AF36" s="16117"/>
      <c r="AG36" s="16117"/>
      <c r="AH36" s="16117"/>
      <c r="AI36" s="16117"/>
      <c r="AJ36" s="16117"/>
      <c r="AK36" s="16117"/>
      <c r="AL36" s="16117"/>
      <c r="AM36" s="16117"/>
      <c r="AN36" s="16117"/>
      <c r="AO36" s="16117"/>
      <c r="AP36" s="16117"/>
      <c r="AQ36" s="16117"/>
      <c r="AR36" s="16117"/>
      <c r="AS36" s="243"/>
      <c r="AT36" s="243"/>
      <c r="AU36" s="198"/>
      <c r="AV36" s="283"/>
      <c r="AW36" s="283"/>
      <c r="AX36" s="283"/>
      <c r="AY36" s="283"/>
      <c r="AZ36" s="283"/>
    </row>
    <row r="37" spans="1:52" s="14420" customFormat="1" ht="0.75" customHeight="1">
      <c r="A37" s="1245"/>
      <c r="B37" s="1245"/>
      <c r="C37" s="1245"/>
      <c r="D37" s="1245"/>
      <c r="E37" s="1245"/>
      <c r="F37" s="1245"/>
      <c r="G37" s="1245"/>
      <c r="H37" s="1245"/>
      <c r="I37" s="1245"/>
      <c r="J37" s="1245"/>
      <c r="K37" s="1245"/>
      <c r="L37" s="1246"/>
      <c r="M37" s="1245"/>
      <c r="N37" s="1245"/>
      <c r="O37" s="1245"/>
      <c r="P37" s="1245"/>
      <c r="Q37" s="1245"/>
      <c r="S37" s="240"/>
      <c r="T37" s="240"/>
      <c r="U37" s="1218"/>
      <c r="V37" s="243"/>
      <c r="W37" s="243"/>
      <c r="X37" s="243"/>
      <c r="Y37" s="243"/>
      <c r="Z37" s="243"/>
      <c r="AA37" s="196" t="s">
        <v>562</v>
      </c>
      <c r="AB37" s="243"/>
      <c r="AC37" s="243"/>
      <c r="AD37" s="243"/>
      <c r="AE37" s="243"/>
      <c r="AF37" s="243"/>
      <c r="AG37" s="243"/>
      <c r="AH37" s="243"/>
      <c r="AI37" s="243"/>
      <c r="AJ37" s="243"/>
      <c r="AK37" s="243"/>
      <c r="AL37" s="243"/>
      <c r="AM37" s="243"/>
      <c r="AN37" s="243"/>
      <c r="AO37" s="243"/>
      <c r="AP37" s="243"/>
      <c r="AQ37" s="243"/>
      <c r="AR37" s="243"/>
      <c r="AS37" s="196" t="s">
        <v>562</v>
      </c>
      <c r="AV37" s="283"/>
      <c r="AW37" s="283"/>
      <c r="AX37" s="283"/>
      <c r="AY37" s="283"/>
      <c r="AZ37" s="283"/>
    </row>
    <row r="38" spans="1:52" ht="14.25" customHeight="1">
      <c r="Q38" s="208"/>
      <c r="R38" s="291"/>
      <c r="S38" s="1157"/>
      <c r="T38" s="279"/>
      <c r="U38" s="1126"/>
      <c r="V38" s="16118"/>
      <c r="W38" s="16118"/>
      <c r="X38" s="16118"/>
      <c r="Y38" s="16118"/>
      <c r="Z38" s="16118"/>
      <c r="AA38" s="16118"/>
      <c r="AB38" s="16118"/>
      <c r="AC38" s="16118"/>
      <c r="AD38" s="16118"/>
      <c r="AE38" s="16118"/>
      <c r="AF38" s="16118"/>
      <c r="AG38" s="16118"/>
      <c r="AH38" s="16118"/>
      <c r="AI38" s="16118"/>
      <c r="AJ38" s="16118"/>
      <c r="AK38" s="16118"/>
      <c r="AL38" s="16118"/>
      <c r="AM38" s="16118"/>
      <c r="AN38" s="16118"/>
      <c r="AO38" s="16118"/>
      <c r="AP38" s="16118"/>
      <c r="AQ38" s="16118"/>
      <c r="AR38" s="16118"/>
      <c r="AS38" s="16118"/>
    </row>
    <row r="39" spans="1:52" ht="14.25" customHeight="1">
      <c r="Q39" s="208"/>
      <c r="R39" s="291"/>
      <c r="S39" s="15992" t="s">
        <v>437</v>
      </c>
      <c r="T39" s="15992"/>
      <c r="U39" s="15992"/>
      <c r="V39" s="15992"/>
      <c r="W39" s="15992"/>
      <c r="X39" s="15992"/>
      <c r="Y39" s="15992"/>
      <c r="Z39" s="15992"/>
      <c r="AA39" s="15992"/>
      <c r="AB39" s="16055"/>
      <c r="AC39" s="16055"/>
      <c r="AD39" s="16055"/>
      <c r="AE39" s="16055"/>
      <c r="AF39" s="15992"/>
      <c r="AG39" s="15992"/>
      <c r="AH39" s="15992"/>
      <c r="AI39" s="15992"/>
      <c r="AJ39" s="15992"/>
      <c r="AK39" s="15992"/>
      <c r="AL39" s="15992"/>
      <c r="AM39" s="15992"/>
      <c r="AN39" s="15992"/>
      <c r="AO39" s="15992"/>
      <c r="AP39" s="15992"/>
      <c r="AQ39" s="15992"/>
      <c r="AR39" s="15992"/>
      <c r="AS39" s="15992"/>
      <c r="AT39" s="15992"/>
      <c r="AU39" s="15992" t="s">
        <v>438</v>
      </c>
    </row>
    <row r="40" spans="1:52" ht="14.25" customHeight="1">
      <c r="Q40" s="208"/>
      <c r="R40" s="291"/>
      <c r="S40" s="16132" t="s">
        <v>87</v>
      </c>
      <c r="T40" s="16084" t="s">
        <v>607</v>
      </c>
      <c r="U40" s="218"/>
      <c r="V40" s="16134"/>
      <c r="W40" s="16134"/>
      <c r="X40" s="16134"/>
      <c r="Y40" s="16134"/>
      <c r="Z40" s="16135"/>
      <c r="AA40" s="16170" t="s">
        <v>565</v>
      </c>
      <c r="AB40" s="16162" t="s">
        <v>608</v>
      </c>
      <c r="AC40" s="16150"/>
      <c r="AD40" s="16150"/>
      <c r="AE40" s="16163"/>
      <c r="AF40" s="16150" t="s">
        <v>609</v>
      </c>
      <c r="AG40" s="16150"/>
      <c r="AH40" s="16150"/>
      <c r="AI40" s="16163"/>
      <c r="AJ40" s="16162" t="s">
        <v>610</v>
      </c>
      <c r="AK40" s="16150"/>
      <c r="AL40" s="16150"/>
      <c r="AM40" s="16163"/>
      <c r="AN40" s="16162" t="s">
        <v>564</v>
      </c>
      <c r="AO40" s="16150"/>
      <c r="AP40" s="16134"/>
      <c r="AQ40" s="16134"/>
      <c r="AR40" s="16135"/>
      <c r="AS40" s="16136" t="s">
        <v>565</v>
      </c>
      <c r="AT40" s="16139" t="s">
        <v>567</v>
      </c>
      <c r="AU40" s="15992"/>
    </row>
    <row r="41" spans="1:52" ht="33.75" customHeight="1">
      <c r="Q41" s="208"/>
      <c r="R41" s="291"/>
      <c r="S41" s="16132"/>
      <c r="T41" s="16084"/>
      <c r="U41" s="919"/>
      <c r="V41" s="16070" t="s">
        <v>611</v>
      </c>
      <c r="W41" s="16071"/>
      <c r="X41" s="16070" t="s">
        <v>571</v>
      </c>
      <c r="Y41" s="16157"/>
      <c r="Z41" s="16071"/>
      <c r="AA41" s="16171"/>
      <c r="AB41" s="16164"/>
      <c r="AC41" s="16165"/>
      <c r="AD41" s="16165"/>
      <c r="AE41" s="16166"/>
      <c r="AF41" s="16165"/>
      <c r="AG41" s="16165"/>
      <c r="AH41" s="16165"/>
      <c r="AI41" s="16166"/>
      <c r="AJ41" s="16164"/>
      <c r="AK41" s="16165"/>
      <c r="AL41" s="16165"/>
      <c r="AM41" s="16165"/>
      <c r="AN41" s="15992" t="s">
        <v>612</v>
      </c>
      <c r="AO41" s="15992"/>
      <c r="AP41" s="16157" t="s">
        <v>571</v>
      </c>
      <c r="AQ41" s="16157"/>
      <c r="AR41" s="16071"/>
      <c r="AS41" s="16137"/>
      <c r="AT41" s="16140"/>
      <c r="AU41" s="15992"/>
    </row>
    <row r="42" spans="1:52" ht="14.25" customHeight="1">
      <c r="Q42" s="208"/>
      <c r="R42" s="291"/>
      <c r="S42" s="16132"/>
      <c r="T42" s="16084"/>
      <c r="U42" s="919"/>
      <c r="V42" s="16075"/>
      <c r="W42" s="16076"/>
      <c r="X42" s="16075"/>
      <c r="Y42" s="16158"/>
      <c r="Z42" s="16076"/>
      <c r="AA42" s="16171"/>
      <c r="AB42" s="16164"/>
      <c r="AC42" s="16165"/>
      <c r="AD42" s="16165"/>
      <c r="AE42" s="16166"/>
      <c r="AF42" s="16165"/>
      <c r="AG42" s="16165"/>
      <c r="AH42" s="16165"/>
      <c r="AI42" s="16166"/>
      <c r="AJ42" s="16164"/>
      <c r="AK42" s="16165"/>
      <c r="AL42" s="16165"/>
      <c r="AM42" s="16165"/>
      <c r="AN42" s="16173"/>
      <c r="AO42" s="16173"/>
      <c r="AP42" s="16158"/>
      <c r="AQ42" s="16158"/>
      <c r="AR42" s="16076"/>
      <c r="AS42" s="16137"/>
      <c r="AT42" s="16140"/>
      <c r="AU42" s="15992"/>
    </row>
    <row r="43" spans="1:52" ht="14.25" customHeight="1">
      <c r="A43" s="1247"/>
      <c r="B43" s="1247" t="s">
        <v>170</v>
      </c>
      <c r="C43" s="1247" t="s">
        <v>171</v>
      </c>
      <c r="D43" s="1247" t="s">
        <v>172</v>
      </c>
      <c r="E43" s="1241" t="s">
        <v>572</v>
      </c>
      <c r="F43" s="1241" t="s">
        <v>573</v>
      </c>
      <c r="G43" s="1241" t="s">
        <v>574</v>
      </c>
      <c r="H43" s="1241" t="s">
        <v>575</v>
      </c>
      <c r="I43" s="1241" t="s">
        <v>576</v>
      </c>
      <c r="J43" s="1241" t="s">
        <v>577</v>
      </c>
      <c r="K43" s="1241" t="s">
        <v>578</v>
      </c>
      <c r="L43" s="1241" t="s">
        <v>553</v>
      </c>
      <c r="Q43" s="208"/>
      <c r="R43" s="291"/>
      <c r="S43" s="16132"/>
      <c r="T43" s="16084"/>
      <c r="U43" s="219"/>
      <c r="V43" s="1208" t="s">
        <v>613</v>
      </c>
      <c r="W43" s="1208" t="s">
        <v>614</v>
      </c>
      <c r="X43" s="1216" t="s">
        <v>581</v>
      </c>
      <c r="Y43" s="16092" t="s">
        <v>582</v>
      </c>
      <c r="Z43" s="16094"/>
      <c r="AA43" s="16172"/>
      <c r="AB43" s="16167"/>
      <c r="AC43" s="16168"/>
      <c r="AD43" s="16168"/>
      <c r="AE43" s="16169"/>
      <c r="AF43" s="16168"/>
      <c r="AG43" s="16168"/>
      <c r="AH43" s="16168"/>
      <c r="AI43" s="16169"/>
      <c r="AJ43" s="16167"/>
      <c r="AK43" s="16168"/>
      <c r="AL43" s="16168"/>
      <c r="AM43" s="16169"/>
      <c r="AN43" s="1721" t="s">
        <v>613</v>
      </c>
      <c r="AO43" s="1721" t="s">
        <v>614</v>
      </c>
      <c r="AP43" s="1216" t="s">
        <v>581</v>
      </c>
      <c r="AQ43" s="16092" t="s">
        <v>582</v>
      </c>
      <c r="AR43" s="16094"/>
      <c r="AS43" s="16138"/>
      <c r="AT43" s="16141"/>
      <c r="AU43" s="15992"/>
    </row>
    <row r="44" spans="1:52" s="14405" customFormat="1" ht="11.25" hidden="1" customHeight="1">
      <c r="A44" s="1247"/>
      <c r="B44" s="1247"/>
      <c r="C44" s="1247"/>
      <c r="D44" s="1247"/>
      <c r="E44" s="1247"/>
      <c r="F44" s="1247"/>
      <c r="G44" s="1247"/>
      <c r="H44" s="1247"/>
      <c r="I44" s="1247"/>
      <c r="J44" s="1247"/>
      <c r="K44" s="1247"/>
      <c r="L44" s="1241"/>
      <c r="M44" s="1239"/>
      <c r="N44" s="1239"/>
      <c r="O44" s="1239"/>
      <c r="P44" s="417"/>
      <c r="Q44" s="1136"/>
      <c r="R44" s="1136">
        <v>1</v>
      </c>
      <c r="S44" s="1159" t="s">
        <v>147</v>
      </c>
      <c r="T44" s="1137" t="s">
        <v>102</v>
      </c>
      <c r="U44" s="1127" t="str">
        <f ca="1">OFFSET(U44,0,-1)</f>
        <v>2</v>
      </c>
      <c r="V44" s="1213">
        <f ca="1">OFFSET(V44,0,-1)+1</f>
        <v>3</v>
      </c>
      <c r="W44" s="1213">
        <f ca="1">OFFSET(W44,0,-1)+1</f>
        <v>4</v>
      </c>
      <c r="X44" s="1213">
        <f ca="1">OFFSET(X44,0,-1)+1</f>
        <v>5</v>
      </c>
      <c r="Y44" s="16131">
        <f ca="1">OFFSET(Y44,0,-1)+1</f>
        <v>6</v>
      </c>
      <c r="Z44" s="16131"/>
      <c r="AA44" s="1213">
        <f ca="1">OFFSET(AA44,0,-2)+1</f>
        <v>7</v>
      </c>
      <c r="AB44" s="1219">
        <f ca="1">OFFSET(AB44,0,-1)+1</f>
        <v>8</v>
      </c>
      <c r="AC44" s="1219"/>
      <c r="AD44" s="1219"/>
      <c r="AE44" s="1219"/>
      <c r="AF44" s="1213"/>
      <c r="AG44" s="1213"/>
      <c r="AH44" s="1213"/>
      <c r="AI44" s="1213"/>
      <c r="AJ44" s="1213"/>
      <c r="AK44" s="1213"/>
      <c r="AL44" s="1213"/>
      <c r="AM44" s="1213"/>
      <c r="AN44" s="1213">
        <f ca="1">OFFSET(AN44,0,-1)+1</f>
        <v>1</v>
      </c>
      <c r="AO44" s="1213">
        <f ca="1">OFFSET(AO44,0,-1)+1</f>
        <v>2</v>
      </c>
      <c r="AP44" s="1213">
        <f ca="1">OFFSET(AP44,0,-1)+1</f>
        <v>3</v>
      </c>
      <c r="AQ44" s="16131">
        <f ca="1">OFFSET(AQ44,0,-1)+1</f>
        <v>4</v>
      </c>
      <c r="AR44" s="16131"/>
      <c r="AS44" s="1213">
        <f ca="1">OFFSET(AS44,0,-2)+1</f>
        <v>5</v>
      </c>
      <c r="AT44" s="1127">
        <f ca="1">OFFSET(AT44,0,-1)</f>
        <v>5</v>
      </c>
      <c r="AU44" s="1213">
        <f ca="1">OFFSET(AU44,0,-1)+1</f>
        <v>6</v>
      </c>
      <c r="AV44" s="418"/>
      <c r="AW44" s="418"/>
      <c r="AX44" s="418"/>
      <c r="AY44" s="418"/>
      <c r="AZ44" s="418"/>
    </row>
    <row r="45" spans="1:52" ht="102" customHeight="1">
      <c r="A45" s="1240" t="s">
        <v>229</v>
      </c>
      <c r="B45" s="1240"/>
      <c r="C45" s="1240"/>
      <c r="D45" s="1240"/>
      <c r="E45" s="16124">
        <v>1</v>
      </c>
      <c r="F45" s="1240"/>
      <c r="G45" s="1240"/>
      <c r="H45" s="1240"/>
      <c r="I45" s="1240"/>
      <c r="J45" s="1240"/>
      <c r="K45" s="1240"/>
      <c r="L45" s="1241"/>
      <c r="M45" s="1242"/>
      <c r="N45" s="1242"/>
      <c r="O45" s="1242"/>
      <c r="P45" s="1286"/>
      <c r="Q45" s="767"/>
      <c r="R45" s="271"/>
      <c r="S45" s="1214">
        <f>INDEX(PT_DIFFERENTIATION_NUM_NTAR,MATCH(A45,PT_DIFFERENTIATION_NTAR_ID,0))</f>
        <v>0</v>
      </c>
      <c r="T45" s="215" t="s">
        <v>158</v>
      </c>
      <c r="U45" s="217"/>
      <c r="V45" s="16111"/>
      <c r="W45" s="16111"/>
      <c r="X45" s="16111"/>
      <c r="Y45" s="16111"/>
      <c r="Z45" s="16111"/>
      <c r="AA45" s="16112"/>
      <c r="AB45" s="16110" t="str">
        <f>INDEX(PT_DIFFERENTIATION_NTAR,MATCH(A45,PT_DIFFERENTIATION_NTAR_ID,0))</f>
        <v/>
      </c>
      <c r="AC45" s="16111"/>
      <c r="AD45" s="16111"/>
      <c r="AE45" s="16111"/>
      <c r="AF45" s="16111"/>
      <c r="AG45" s="16111"/>
      <c r="AH45" s="16111"/>
      <c r="AI45" s="16111"/>
      <c r="AJ45" s="16111"/>
      <c r="AK45" s="16111"/>
      <c r="AL45" s="16111"/>
      <c r="AM45" s="16111"/>
      <c r="AN45" s="16111"/>
      <c r="AO45" s="16111"/>
      <c r="AP45" s="16111"/>
      <c r="AQ45" s="16111"/>
      <c r="AR45" s="16111"/>
      <c r="AS45" s="16111"/>
      <c r="AT45" s="16112"/>
      <c r="AU45" s="11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07"/>
      <c r="AX45" s="407" t="str">
        <f t="shared" ref="AX45:AX51" si="2">IF(T45="","",T45)</f>
        <v>Наименование тарифа</v>
      </c>
      <c r="AY45" s="407"/>
      <c r="AZ45" s="407"/>
    </row>
    <row r="46" spans="1:52" ht="21" customHeight="1">
      <c r="A46" s="1240" t="s">
        <v>229</v>
      </c>
      <c r="B46" s="1240" t="s">
        <v>230</v>
      </c>
      <c r="C46" s="1240"/>
      <c r="D46" s="1240"/>
      <c r="E46" s="16125"/>
      <c r="F46" s="16124">
        <v>1</v>
      </c>
      <c r="G46" s="1240"/>
      <c r="H46" s="1240"/>
      <c r="I46" s="1240"/>
      <c r="J46" s="1240"/>
      <c r="K46" s="1240"/>
      <c r="L46" s="1241"/>
      <c r="M46" s="1242"/>
      <c r="N46" s="1242"/>
      <c r="O46" s="1242"/>
      <c r="P46" s="1287"/>
      <c r="Q46" s="1288"/>
      <c r="R46" s="269"/>
      <c r="S46" s="1214" t="str">
        <f>INDEX(PT_DIFFERENTIATION_NUM_TER,MATCH(B46,PT_DIFFERENTIATION_TER_ID,0))</f>
        <v>.</v>
      </c>
      <c r="T46" s="225" t="s">
        <v>534</v>
      </c>
      <c r="U46" s="217"/>
      <c r="V46" s="16111"/>
      <c r="W46" s="16111"/>
      <c r="X46" s="16111"/>
      <c r="Y46" s="16111"/>
      <c r="Z46" s="16111"/>
      <c r="AA46" s="16112"/>
      <c r="AB46" s="16110" t="str">
        <f>INDEX(PT_DIFFERENTIATION_TER,MATCH(B46,PT_DIFFERENTIATION_TER_ID,0))</f>
        <v/>
      </c>
      <c r="AC46" s="16111"/>
      <c r="AD46" s="16111"/>
      <c r="AE46" s="16111"/>
      <c r="AF46" s="16111"/>
      <c r="AG46" s="16111"/>
      <c r="AH46" s="16111"/>
      <c r="AI46" s="16111"/>
      <c r="AJ46" s="16111"/>
      <c r="AK46" s="16111"/>
      <c r="AL46" s="16111"/>
      <c r="AM46" s="16111"/>
      <c r="AN46" s="16111"/>
      <c r="AO46" s="16111"/>
      <c r="AP46" s="16111"/>
      <c r="AQ46" s="16111"/>
      <c r="AR46" s="16111"/>
      <c r="AS46" s="16111"/>
      <c r="AT46" s="16112"/>
      <c r="AU46" s="1140" t="s">
        <v>535</v>
      </c>
      <c r="AW46" s="407"/>
      <c r="AX46" s="407" t="str">
        <f t="shared" si="2"/>
        <v>Территория действия тарифа</v>
      </c>
      <c r="AY46" s="407"/>
      <c r="AZ46" s="407"/>
    </row>
    <row r="47" spans="1:52" ht="23.25" customHeight="1">
      <c r="A47" s="1240" t="s">
        <v>229</v>
      </c>
      <c r="B47" s="1240" t="s">
        <v>230</v>
      </c>
      <c r="C47" s="1240" t="s">
        <v>231</v>
      </c>
      <c r="D47" s="1240"/>
      <c r="E47" s="16125"/>
      <c r="F47" s="16125"/>
      <c r="G47" s="16124">
        <v>1</v>
      </c>
      <c r="H47" s="1240"/>
      <c r="I47" s="1240"/>
      <c r="J47" s="1240"/>
      <c r="K47" s="1240"/>
      <c r="L47" s="1241"/>
      <c r="M47" s="1242"/>
      <c r="N47" s="1242"/>
      <c r="O47" s="1242"/>
      <c r="P47" s="1289"/>
      <c r="Q47" s="1288"/>
      <c r="R47" s="269"/>
      <c r="S47" s="1214" t="str">
        <f>INDEX(PT_DIFFERENTIATION_NUM_CS,MATCH(C47,PT_DIFFERENTIATION_CS_ID,0))</f>
        <v>..</v>
      </c>
      <c r="T47" s="226" t="s">
        <v>536</v>
      </c>
      <c r="U47" s="217"/>
      <c r="V47" s="16111"/>
      <c r="W47" s="16111"/>
      <c r="X47" s="16111"/>
      <c r="Y47" s="16111"/>
      <c r="Z47" s="16111"/>
      <c r="AA47" s="16112"/>
      <c r="AB47" s="16110" t="str">
        <f>INDEX(PT_DIFFERENTIATION_CS,MATCH(C47,PT_DIFFERENTIATION_CS_ID,0))</f>
        <v/>
      </c>
      <c r="AC47" s="16111"/>
      <c r="AD47" s="16111"/>
      <c r="AE47" s="16111"/>
      <c r="AF47" s="16111"/>
      <c r="AG47" s="16111"/>
      <c r="AH47" s="16111"/>
      <c r="AI47" s="16111"/>
      <c r="AJ47" s="16111"/>
      <c r="AK47" s="16111"/>
      <c r="AL47" s="16111"/>
      <c r="AM47" s="16111"/>
      <c r="AN47" s="16111"/>
      <c r="AO47" s="16111"/>
      <c r="AP47" s="16111"/>
      <c r="AQ47" s="16111"/>
      <c r="AR47" s="16111"/>
      <c r="AS47" s="16111"/>
      <c r="AT47" s="16112"/>
      <c r="AU47" s="1140" t="s">
        <v>537</v>
      </c>
      <c r="AW47" s="407"/>
      <c r="AX47" s="407" t="str">
        <f t="shared" si="2"/>
        <v xml:space="preserve">Наименование системы теплоснабжения </v>
      </c>
      <c r="AY47" s="407"/>
      <c r="AZ47" s="407"/>
    </row>
    <row r="48" spans="1:52" ht="21" customHeight="1">
      <c r="A48" s="1240" t="s">
        <v>229</v>
      </c>
      <c r="B48" s="1240" t="s">
        <v>230</v>
      </c>
      <c r="C48" s="1240" t="s">
        <v>231</v>
      </c>
      <c r="D48" s="1240" t="s">
        <v>232</v>
      </c>
      <c r="E48" s="16125"/>
      <c r="F48" s="16125"/>
      <c r="G48" s="16125"/>
      <c r="H48" s="16124">
        <v>1</v>
      </c>
      <c r="I48" s="1240"/>
      <c r="J48" s="1240"/>
      <c r="K48" s="1240"/>
      <c r="L48" s="1241"/>
      <c r="M48" s="1242"/>
      <c r="N48" s="1242"/>
      <c r="O48" s="1242"/>
      <c r="P48" s="1289"/>
      <c r="Q48" s="1288"/>
      <c r="R48" s="269"/>
      <c r="S48" s="1214" t="str">
        <f>INDEX(PT_DIFFERENTIATION_NUM_IST_TE,MATCH(D48,PT_DIFFERENTIATION_IST_TE_ID,0))</f>
        <v>...</v>
      </c>
      <c r="T48" s="227" t="s">
        <v>538</v>
      </c>
      <c r="U48" s="217"/>
      <c r="V48" s="16111"/>
      <c r="W48" s="16111"/>
      <c r="X48" s="16111"/>
      <c r="Y48" s="16111"/>
      <c r="Z48" s="16111"/>
      <c r="AA48" s="16112"/>
      <c r="AB48" s="16110" t="str">
        <f>INDEX(PT_DIFFERENTIATION_IST_TE,MATCH(D48,PT_DIFFERENTIATION_IST_TE_ID,0))</f>
        <v/>
      </c>
      <c r="AC48" s="16111"/>
      <c r="AD48" s="16111"/>
      <c r="AE48" s="16111"/>
      <c r="AF48" s="16111"/>
      <c r="AG48" s="16111"/>
      <c r="AH48" s="16111"/>
      <c r="AI48" s="16111"/>
      <c r="AJ48" s="16111"/>
      <c r="AK48" s="16111"/>
      <c r="AL48" s="16111"/>
      <c r="AM48" s="16111"/>
      <c r="AN48" s="16111"/>
      <c r="AO48" s="16111"/>
      <c r="AP48" s="16111"/>
      <c r="AQ48" s="16111"/>
      <c r="AR48" s="16111"/>
      <c r="AS48" s="16111"/>
      <c r="AT48" s="16112"/>
      <c r="AU48" s="1140" t="s">
        <v>539</v>
      </c>
      <c r="AW48" s="407"/>
      <c r="AX48" s="407" t="str">
        <f t="shared" si="2"/>
        <v xml:space="preserve">Источник тепловой энергии  </v>
      </c>
      <c r="AY48" s="407"/>
      <c r="AZ48" s="407"/>
    </row>
    <row r="49" spans="1:52" s="14421" customFormat="1" ht="0" hidden="1" customHeight="1">
      <c r="A49" s="1221" t="s">
        <v>229</v>
      </c>
      <c r="B49" s="1221" t="s">
        <v>230</v>
      </c>
      <c r="C49" s="1221" t="s">
        <v>231</v>
      </c>
      <c r="D49" s="1221" t="s">
        <v>232</v>
      </c>
      <c r="E49" s="16125"/>
      <c r="F49" s="16125"/>
      <c r="G49" s="16125"/>
      <c r="H49" s="16125"/>
      <c r="I49" s="16122" t="str">
        <f>S48&amp;".1"</f>
        <v>....1</v>
      </c>
      <c r="J49" s="1221"/>
      <c r="K49" s="1221"/>
      <c r="L49" s="1224" t="s">
        <v>540</v>
      </c>
      <c r="M49" s="417"/>
      <c r="N49" s="417"/>
      <c r="O49" s="417"/>
      <c r="P49" s="16123">
        <v>1</v>
      </c>
      <c r="Q49" s="1209"/>
      <c r="R49" s="272"/>
      <c r="S49" s="930"/>
      <c r="T49" s="1260"/>
      <c r="U49" s="1261"/>
      <c r="V49" s="16154"/>
      <c r="W49" s="16154"/>
      <c r="X49" s="16154"/>
      <c r="Y49" s="16154"/>
      <c r="Z49" s="16154"/>
      <c r="AA49" s="16155"/>
      <c r="AB49" s="16153"/>
      <c r="AC49" s="16154"/>
      <c r="AD49" s="16154"/>
      <c r="AE49" s="16154"/>
      <c r="AF49" s="16154"/>
      <c r="AG49" s="16154"/>
      <c r="AH49" s="16154"/>
      <c r="AI49" s="16154"/>
      <c r="AJ49" s="16154"/>
      <c r="AK49" s="16154"/>
      <c r="AL49" s="16154"/>
      <c r="AM49" s="16154"/>
      <c r="AN49" s="16154"/>
      <c r="AO49" s="16154"/>
      <c r="AP49" s="16154"/>
      <c r="AQ49" s="16154"/>
      <c r="AR49" s="16154"/>
      <c r="AS49" s="16154"/>
      <c r="AT49" s="16155"/>
      <c r="AU49" s="1262"/>
      <c r="AW49" s="407"/>
      <c r="AX49" s="407" t="str">
        <f t="shared" si="2"/>
        <v/>
      </c>
      <c r="AY49" s="407"/>
      <c r="AZ49" s="407"/>
    </row>
    <row r="50" spans="1:52" s="14421" customFormat="1" ht="0" hidden="1" customHeight="1">
      <c r="A50" s="1221" t="s">
        <v>229</v>
      </c>
      <c r="B50" s="1221" t="s">
        <v>230</v>
      </c>
      <c r="C50" s="1221" t="s">
        <v>231</v>
      </c>
      <c r="D50" s="1221" t="s">
        <v>232</v>
      </c>
      <c r="E50" s="16125"/>
      <c r="F50" s="16125"/>
      <c r="G50" s="16125"/>
      <c r="H50" s="16125"/>
      <c r="I50" s="16145"/>
      <c r="J50" s="16122" t="str">
        <f>S48&amp;".1"</f>
        <v>....1</v>
      </c>
      <c r="K50" s="1221"/>
      <c r="L50" s="1224"/>
      <c r="M50" s="417"/>
      <c r="N50" s="417"/>
      <c r="O50" s="417"/>
      <c r="P50" s="16123"/>
      <c r="Q50" s="16123">
        <v>1</v>
      </c>
      <c r="R50" s="273"/>
      <c r="S50" s="930"/>
      <c r="T50" s="1276"/>
      <c r="U50" s="1261"/>
      <c r="V50" s="16154"/>
      <c r="W50" s="16154"/>
      <c r="X50" s="16154"/>
      <c r="Y50" s="16154"/>
      <c r="Z50" s="16154"/>
      <c r="AA50" s="16155"/>
      <c r="AB50" s="16153"/>
      <c r="AC50" s="16154"/>
      <c r="AD50" s="16154"/>
      <c r="AE50" s="16154"/>
      <c r="AF50" s="16154"/>
      <c r="AG50" s="16154"/>
      <c r="AH50" s="16154"/>
      <c r="AI50" s="16154"/>
      <c r="AJ50" s="16154"/>
      <c r="AK50" s="16154"/>
      <c r="AL50" s="16154"/>
      <c r="AM50" s="16154"/>
      <c r="AN50" s="16154"/>
      <c r="AO50" s="16154"/>
      <c r="AP50" s="16154"/>
      <c r="AQ50" s="16154"/>
      <c r="AR50" s="16154"/>
      <c r="AS50" s="16154"/>
      <c r="AT50" s="16155"/>
      <c r="AU50" s="1262"/>
      <c r="AW50" s="407"/>
      <c r="AX50" s="407" t="str">
        <f t="shared" si="2"/>
        <v/>
      </c>
      <c r="AY50" s="407"/>
      <c r="AZ50" s="407"/>
    </row>
    <row r="51" spans="1:52" ht="21" customHeight="1">
      <c r="A51" s="1240" t="s">
        <v>229</v>
      </c>
      <c r="B51" s="1240" t="s">
        <v>230</v>
      </c>
      <c r="C51" s="1240" t="s">
        <v>231</v>
      </c>
      <c r="D51" s="1240" t="s">
        <v>232</v>
      </c>
      <c r="E51" s="16125"/>
      <c r="F51" s="16125"/>
      <c r="G51" s="16125"/>
      <c r="H51" s="16125"/>
      <c r="I51" s="16145"/>
      <c r="J51" s="16145"/>
      <c r="K51" s="16122" t="str">
        <f>S48&amp;".1"</f>
        <v>....1</v>
      </c>
      <c r="L51" s="1241"/>
      <c r="P51" s="16123"/>
      <c r="Q51" s="16123"/>
      <c r="R51" s="273">
        <v>1</v>
      </c>
      <c r="S51" s="16174" t="str">
        <f>$K51</f>
        <v>....1</v>
      </c>
      <c r="T51" s="16177"/>
      <c r="U51" s="217"/>
      <c r="V51" s="649"/>
      <c r="W51" s="1139"/>
      <c r="X51" s="1596"/>
      <c r="Y51" s="1333" t="s">
        <v>66</v>
      </c>
      <c r="Z51" s="1596"/>
      <c r="AA51" s="1333" t="s">
        <v>66</v>
      </c>
      <c r="AB51" s="15973" t="s">
        <v>56</v>
      </c>
      <c r="AC51" s="16160"/>
      <c r="AD51" s="16080">
        <v>1</v>
      </c>
      <c r="AE51" s="16181" t="s">
        <v>24</v>
      </c>
      <c r="AF51" s="15973" t="s">
        <v>56</v>
      </c>
      <c r="AG51" s="16160"/>
      <c r="AH51" s="16080">
        <v>1</v>
      </c>
      <c r="AI51" s="16181" t="s">
        <v>24</v>
      </c>
      <c r="AJ51" s="15973" t="s">
        <v>56</v>
      </c>
      <c r="AK51" s="228"/>
      <c r="AL51" s="1215">
        <v>1</v>
      </c>
      <c r="AM51" s="1279"/>
      <c r="AN51" s="649"/>
      <c r="AO51" s="1139"/>
      <c r="AP51" s="1596"/>
      <c r="AQ51" s="1333" t="s">
        <v>66</v>
      </c>
      <c r="AR51" s="1596"/>
      <c r="AS51" s="1333" t="s">
        <v>66</v>
      </c>
      <c r="AT51" s="1226"/>
      <c r="AU51" s="16119" t="s">
        <v>615</v>
      </c>
      <c r="AV51" s="418" t="e">
        <f ca="1">STRCHECKDATE(V54:AT54)</f>
        <v>#NAME?</v>
      </c>
      <c r="AW51" s="407"/>
      <c r="AX51" s="407" t="str">
        <f t="shared" si="2"/>
        <v/>
      </c>
      <c r="AY51" s="407"/>
      <c r="AZ51" s="407"/>
    </row>
    <row r="52" spans="1:52" ht="11.25" customHeight="1">
      <c r="A52" s="1240" t="s">
        <v>229</v>
      </c>
      <c r="B52" s="1240"/>
      <c r="C52" s="1240"/>
      <c r="D52" s="1240"/>
      <c r="E52" s="16125"/>
      <c r="F52" s="16125"/>
      <c r="G52" s="16125"/>
      <c r="H52" s="16125"/>
      <c r="I52" s="16145"/>
      <c r="J52" s="16145"/>
      <c r="K52" s="16122"/>
      <c r="L52" s="1241"/>
      <c r="P52" s="16123"/>
      <c r="Q52" s="16123"/>
      <c r="R52" s="273"/>
      <c r="S52" s="16175"/>
      <c r="T52" s="16178"/>
      <c r="U52" s="217"/>
      <c r="V52" s="1270"/>
      <c r="W52" s="1367"/>
      <c r="X52" s="1270"/>
      <c r="Y52" s="1270"/>
      <c r="Z52" s="1270"/>
      <c r="AA52" s="1270"/>
      <c r="AB52" s="15973"/>
      <c r="AC52" s="16160"/>
      <c r="AD52" s="16080"/>
      <c r="AE52" s="16181"/>
      <c r="AF52" s="15973"/>
      <c r="AG52" s="16160"/>
      <c r="AH52" s="16080"/>
      <c r="AI52" s="16181"/>
      <c r="AJ52" s="15973"/>
      <c r="AK52" s="233"/>
      <c r="AL52" s="331"/>
      <c r="AM52" s="330" t="s">
        <v>599</v>
      </c>
      <c r="AN52" s="1270"/>
      <c r="AO52" s="1367"/>
      <c r="AP52" s="1270"/>
      <c r="AQ52" s="1270"/>
      <c r="AR52" s="1270"/>
      <c r="AS52" s="1270"/>
      <c r="AT52" s="1267"/>
      <c r="AU52" s="16120"/>
      <c r="AW52" s="407"/>
      <c r="AX52" s="407"/>
      <c r="AY52" s="407"/>
      <c r="AZ52" s="407"/>
    </row>
    <row r="53" spans="1:52" ht="11.25" customHeight="1">
      <c r="A53" s="1240" t="s">
        <v>229</v>
      </c>
      <c r="B53" s="1240"/>
      <c r="C53" s="1240"/>
      <c r="D53" s="1240"/>
      <c r="E53" s="16125"/>
      <c r="F53" s="16125"/>
      <c r="G53" s="16125"/>
      <c r="H53" s="16125"/>
      <c r="I53" s="16145"/>
      <c r="J53" s="16145"/>
      <c r="K53" s="16122"/>
      <c r="L53" s="1241"/>
      <c r="P53" s="16123"/>
      <c r="Q53" s="16123"/>
      <c r="R53" s="273"/>
      <c r="S53" s="16175"/>
      <c r="T53" s="16178"/>
      <c r="U53" s="217"/>
      <c r="V53" s="1270"/>
      <c r="W53" s="1367"/>
      <c r="X53" s="1270"/>
      <c r="Y53" s="1270"/>
      <c r="Z53" s="1270"/>
      <c r="AA53" s="1270"/>
      <c r="AB53" s="15973"/>
      <c r="AC53" s="16160"/>
      <c r="AD53" s="16080"/>
      <c r="AE53" s="16181"/>
      <c r="AF53" s="15973"/>
      <c r="AG53" s="211"/>
      <c r="AH53" s="330"/>
      <c r="AI53" s="330" t="s">
        <v>600</v>
      </c>
      <c r="AJ53" s="1270"/>
      <c r="AK53" s="1270"/>
      <c r="AL53" s="1270"/>
      <c r="AM53" s="1270"/>
      <c r="AN53" s="1270"/>
      <c r="AO53" s="1367"/>
      <c r="AP53" s="1270"/>
      <c r="AQ53" s="1270"/>
      <c r="AR53" s="1270"/>
      <c r="AS53" s="1270"/>
      <c r="AT53" s="1267"/>
      <c r="AU53" s="16120"/>
      <c r="AW53" s="407"/>
      <c r="AX53" s="407"/>
      <c r="AY53" s="407"/>
      <c r="AZ53" s="407"/>
    </row>
    <row r="54" spans="1:52" ht="11.25" customHeight="1">
      <c r="A54" s="1240" t="s">
        <v>229</v>
      </c>
      <c r="B54" s="1240" t="s">
        <v>230</v>
      </c>
      <c r="C54" s="1240" t="s">
        <v>231</v>
      </c>
      <c r="D54" s="1240" t="s">
        <v>232</v>
      </c>
      <c r="E54" s="16125"/>
      <c r="F54" s="16125"/>
      <c r="G54" s="16125"/>
      <c r="H54" s="16125"/>
      <c r="I54" s="16145"/>
      <c r="J54" s="16145"/>
      <c r="K54" s="16122"/>
      <c r="L54" s="1241"/>
      <c r="P54" s="16123"/>
      <c r="Q54" s="16123"/>
      <c r="R54" s="273"/>
      <c r="S54" s="16176"/>
      <c r="T54" s="16179"/>
      <c r="U54" s="217"/>
      <c r="V54" s="1270"/>
      <c r="W54" s="1271" t="str">
        <f>X51&amp;"-"&amp;Z51</f>
        <v>-</v>
      </c>
      <c r="X54" s="1270"/>
      <c r="Y54" s="1270"/>
      <c r="Z54" s="1270"/>
      <c r="AA54" s="1270"/>
      <c r="AB54" s="15973"/>
      <c r="AC54" s="229"/>
      <c r="AD54" s="231"/>
      <c r="AE54" s="330" t="s">
        <v>601</v>
      </c>
      <c r="AF54" s="1270"/>
      <c r="AG54" s="1270"/>
      <c r="AH54" s="1270"/>
      <c r="AI54" s="1270"/>
      <c r="AJ54" s="1270"/>
      <c r="AK54" s="1270"/>
      <c r="AL54" s="1270"/>
      <c r="AM54" s="1270"/>
      <c r="AN54" s="1270"/>
      <c r="AO54" s="1271" t="str">
        <f>AP51&amp;"-"&amp;AR51</f>
        <v>-</v>
      </c>
      <c r="AP54" s="1270"/>
      <c r="AQ54" s="1270"/>
      <c r="AR54" s="1270"/>
      <c r="AS54" s="1270"/>
      <c r="AT54" s="1227"/>
      <c r="AU54" s="16120"/>
      <c r="AW54" s="407"/>
      <c r="AX54" s="407" t="str">
        <f t="shared" ref="AX54:AX62" si="3">IF(T54="","",T54)</f>
        <v/>
      </c>
      <c r="AY54" s="407"/>
      <c r="AZ54" s="407"/>
    </row>
    <row r="55" spans="1:52" ht="11.25" customHeight="1">
      <c r="A55" s="1240" t="s">
        <v>229</v>
      </c>
      <c r="B55" s="1240" t="s">
        <v>230</v>
      </c>
      <c r="C55" s="1240" t="s">
        <v>231</v>
      </c>
      <c r="D55" s="1240" t="s">
        <v>232</v>
      </c>
      <c r="E55" s="16125"/>
      <c r="F55" s="16125"/>
      <c r="G55" s="16125"/>
      <c r="H55" s="16125"/>
      <c r="I55" s="16145"/>
      <c r="J55" s="16122"/>
      <c r="K55" s="1240"/>
      <c r="L55" s="1241"/>
      <c r="P55" s="16123"/>
      <c r="Q55" s="16123"/>
      <c r="R55" s="272"/>
      <c r="S55" s="1160"/>
      <c r="T55" s="204" t="s">
        <v>602</v>
      </c>
      <c r="U55" s="282"/>
      <c r="V55" s="282"/>
      <c r="W55" s="282"/>
      <c r="X55" s="282"/>
      <c r="Y55" s="282"/>
      <c r="Z55" s="282"/>
      <c r="AA55" s="241"/>
      <c r="AB55" s="1376"/>
      <c r="AC55" s="282"/>
      <c r="AD55" s="282"/>
      <c r="AE55" s="282"/>
      <c r="AF55" s="282"/>
      <c r="AG55" s="282"/>
      <c r="AH55" s="282"/>
      <c r="AI55" s="282"/>
      <c r="AJ55" s="282"/>
      <c r="AK55" s="282"/>
      <c r="AL55" s="282"/>
      <c r="AM55" s="282"/>
      <c r="AN55" s="282"/>
      <c r="AO55" s="282"/>
      <c r="AP55" s="282"/>
      <c r="AQ55" s="282"/>
      <c r="AR55" s="282"/>
      <c r="AS55" s="282"/>
      <c r="AT55" s="241"/>
      <c r="AU55" s="16121"/>
      <c r="AW55" s="407"/>
      <c r="AX55" s="407" t="str">
        <f t="shared" si="3"/>
        <v>Добавить строку</v>
      </c>
      <c r="AY55" s="407"/>
      <c r="AZ55" s="407"/>
    </row>
    <row r="56" spans="1:52" s="14421" customFormat="1" ht="5.25" customHeight="1">
      <c r="A56" s="1221" t="s">
        <v>229</v>
      </c>
      <c r="B56" s="1221" t="s">
        <v>230</v>
      </c>
      <c r="C56" s="1221" t="s">
        <v>231</v>
      </c>
      <c r="D56" s="1221" t="s">
        <v>232</v>
      </c>
      <c r="E56" s="16125"/>
      <c r="F56" s="16125"/>
      <c r="G56" s="16125"/>
      <c r="H56" s="16125"/>
      <c r="I56" s="16122"/>
      <c r="J56" s="1221"/>
      <c r="K56" s="1221"/>
      <c r="L56" s="1224"/>
      <c r="M56" s="417"/>
      <c r="N56" s="417"/>
      <c r="O56" s="417"/>
      <c r="P56" s="16123"/>
      <c r="Q56" s="1209"/>
      <c r="R56" s="272"/>
      <c r="S56" s="1263"/>
      <c r="T56" s="1264" t="s">
        <v>549</v>
      </c>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c r="AU56" s="1266"/>
      <c r="AW56" s="407"/>
      <c r="AX56" s="407" t="str">
        <f t="shared" si="3"/>
        <v>Добавить группу потребителей</v>
      </c>
      <c r="AY56" s="407"/>
      <c r="AZ56" s="407"/>
    </row>
    <row r="57" spans="1:52" s="14405" customFormat="1" ht="5.25" customHeight="1">
      <c r="A57" s="1221" t="s">
        <v>229</v>
      </c>
      <c r="B57" s="1221" t="s">
        <v>230</v>
      </c>
      <c r="C57" s="1221" t="s">
        <v>231</v>
      </c>
      <c r="D57" s="1221" t="s">
        <v>232</v>
      </c>
      <c r="E57" s="16125"/>
      <c r="F57" s="16125"/>
      <c r="G57" s="16125"/>
      <c r="H57" s="16124"/>
      <c r="I57" s="1221"/>
      <c r="J57" s="1221"/>
      <c r="K57" s="1221"/>
      <c r="L57" s="1224"/>
      <c r="M57" s="1194"/>
      <c r="N57" s="1194"/>
      <c r="O57" s="425"/>
      <c r="P57" s="295"/>
      <c r="Q57" s="1222"/>
      <c r="R57" s="1277"/>
      <c r="S57" s="1263"/>
      <c r="T57" s="1264"/>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AU57" s="1266"/>
      <c r="AV57" s="418"/>
      <c r="AW57" s="407"/>
      <c r="AX57" s="407" t="str">
        <f t="shared" si="3"/>
        <v/>
      </c>
      <c r="AY57" s="407"/>
      <c r="AZ57" s="407"/>
    </row>
    <row r="58" spans="1:52" s="14418" customFormat="1" ht="5.25" customHeight="1">
      <c r="A58" s="1221" t="s">
        <v>229</v>
      </c>
      <c r="B58" s="1221" t="s">
        <v>230</v>
      </c>
      <c r="C58" s="1221" t="s">
        <v>231</v>
      </c>
      <c r="D58" s="1193"/>
      <c r="E58" s="16125"/>
      <c r="F58" s="16125"/>
      <c r="G58" s="16124"/>
      <c r="H58" s="1193"/>
      <c r="I58" s="1193"/>
      <c r="J58" s="1193"/>
      <c r="K58" s="1193"/>
      <c r="L58" s="1217"/>
      <c r="M58" s="1194"/>
      <c r="N58" s="1194"/>
      <c r="P58" s="1195"/>
      <c r="Q58" s="1196"/>
      <c r="R58" s="1195"/>
      <c r="S58" s="1201"/>
      <c r="T58" s="1204" t="s">
        <v>551</v>
      </c>
      <c r="U58" s="1203"/>
      <c r="V58" s="1203"/>
      <c r="W58" s="1203"/>
      <c r="X58" s="1203"/>
      <c r="Y58" s="1203"/>
      <c r="Z58" s="1203"/>
      <c r="AA58" s="1203"/>
      <c r="AB58" s="1203"/>
      <c r="AC58" s="1203"/>
      <c r="AD58" s="1203"/>
      <c r="AE58" s="1203"/>
      <c r="AF58" s="1203"/>
      <c r="AG58" s="1203"/>
      <c r="AH58" s="1203"/>
      <c r="AI58" s="1203"/>
      <c r="AJ58" s="1203"/>
      <c r="AK58" s="1203"/>
      <c r="AL58" s="1203"/>
      <c r="AM58" s="1203"/>
      <c r="AN58" s="1203"/>
      <c r="AO58" s="1203"/>
      <c r="AP58" s="1203"/>
      <c r="AQ58" s="1203"/>
      <c r="AR58" s="1203"/>
      <c r="AS58" s="1203"/>
      <c r="AT58" s="1203"/>
      <c r="AU58" s="1203"/>
      <c r="AW58" s="687"/>
      <c r="AX58" s="687" t="str">
        <f t="shared" si="3"/>
        <v>Добавить источник для дифференциации</v>
      </c>
      <c r="AY58" s="687"/>
      <c r="AZ58" s="687"/>
    </row>
    <row r="59" spans="1:52" s="14418" customFormat="1" ht="5.25" customHeight="1">
      <c r="A59" s="1221" t="s">
        <v>229</v>
      </c>
      <c r="B59" s="1221" t="s">
        <v>230</v>
      </c>
      <c r="C59" s="1193"/>
      <c r="D59" s="1193"/>
      <c r="E59" s="16125"/>
      <c r="F59" s="16124"/>
      <c r="G59" s="1193"/>
      <c r="H59" s="1193"/>
      <c r="I59" s="1193"/>
      <c r="J59" s="1193"/>
      <c r="K59" s="1193"/>
      <c r="L59" s="1217"/>
      <c r="M59" s="1200"/>
      <c r="N59" s="1200"/>
      <c r="P59" s="1195"/>
      <c r="Q59" s="1196"/>
      <c r="R59" s="1195"/>
      <c r="S59" s="1201"/>
      <c r="T59" s="1204" t="s">
        <v>290</v>
      </c>
      <c r="U59" s="1203"/>
      <c r="V59" s="1203"/>
      <c r="W59" s="1203"/>
      <c r="X59" s="1203"/>
      <c r="Y59" s="1203"/>
      <c r="Z59" s="1203"/>
      <c r="AA59" s="1203"/>
      <c r="AB59" s="1203"/>
      <c r="AC59" s="1203"/>
      <c r="AD59" s="1203"/>
      <c r="AE59" s="1203"/>
      <c r="AF59" s="1203"/>
      <c r="AG59" s="1203"/>
      <c r="AH59" s="1203"/>
      <c r="AI59" s="1203"/>
      <c r="AJ59" s="1203"/>
      <c r="AK59" s="1203"/>
      <c r="AL59" s="1203"/>
      <c r="AM59" s="1203"/>
      <c r="AN59" s="1203"/>
      <c r="AO59" s="1203"/>
      <c r="AP59" s="1203"/>
      <c r="AQ59" s="1203"/>
      <c r="AR59" s="1203"/>
      <c r="AS59" s="1203"/>
      <c r="AT59" s="1203"/>
      <c r="AU59" s="1203"/>
      <c r="AW59" s="687"/>
      <c r="AX59" s="687" t="str">
        <f t="shared" si="3"/>
        <v>Добавить централизованную систему для дифференциации</v>
      </c>
      <c r="AY59" s="687"/>
      <c r="AZ59" s="687"/>
    </row>
    <row r="60" spans="1:52" s="14421" customFormat="1" ht="5.25" customHeight="1">
      <c r="A60" s="1221" t="s">
        <v>229</v>
      </c>
      <c r="B60" s="1221"/>
      <c r="C60" s="1221"/>
      <c r="D60" s="1221"/>
      <c r="E60" s="16125"/>
      <c r="F60" s="1221"/>
      <c r="G60" s="1221"/>
      <c r="H60" s="1221"/>
      <c r="I60" s="1221"/>
      <c r="J60" s="1221"/>
      <c r="K60" s="1221"/>
      <c r="L60" s="1224"/>
      <c r="M60" s="1200"/>
      <c r="N60" s="1200"/>
      <c r="O60" s="425"/>
      <c r="P60" s="295"/>
      <c r="Q60" s="1222"/>
      <c r="R60" s="295"/>
      <c r="S60" s="1201"/>
      <c r="T60" s="1204" t="s">
        <v>326</v>
      </c>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W60" s="407"/>
      <c r="AX60" s="407" t="str">
        <f t="shared" si="3"/>
        <v>Добавить территорию для дифференциации</v>
      </c>
      <c r="AY60" s="407"/>
      <c r="AZ60" s="407"/>
    </row>
    <row r="61" spans="1:52" s="14421" customFormat="1" ht="5.25" customHeight="1">
      <c r="A61" s="1221" t="s">
        <v>229</v>
      </c>
      <c r="B61" s="1221"/>
      <c r="C61" s="1221"/>
      <c r="D61" s="1221"/>
      <c r="E61" s="16124"/>
      <c r="F61" s="1221"/>
      <c r="G61" s="1221"/>
      <c r="H61" s="1221"/>
      <c r="I61" s="1221"/>
      <c r="J61" s="1221"/>
      <c r="K61" s="1221"/>
      <c r="L61" s="1224"/>
      <c r="M61" s="1200"/>
      <c r="N61" s="1200"/>
      <c r="O61" s="425"/>
      <c r="P61" s="295"/>
      <c r="Q61" s="1222"/>
      <c r="R61" s="295"/>
      <c r="S61" s="1201"/>
      <c r="T61" s="1204" t="s">
        <v>326</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W61" s="407"/>
      <c r="AX61" s="407" t="str">
        <f t="shared" si="3"/>
        <v>Добавить территорию для дифференциации</v>
      </c>
      <c r="AY61" s="407"/>
      <c r="AZ61" s="407"/>
    </row>
    <row r="62" spans="1:52" s="14418" customFormat="1" ht="5.25" customHeight="1">
      <c r="A62" s="1193"/>
      <c r="B62" s="1193"/>
      <c r="C62" s="1193"/>
      <c r="D62" s="1193"/>
      <c r="E62" s="1221"/>
      <c r="F62" s="1193"/>
      <c r="G62" s="1193"/>
      <c r="H62" s="1193"/>
      <c r="I62" s="1193"/>
      <c r="J62" s="1193"/>
      <c r="K62" s="1193"/>
      <c r="L62" s="1217"/>
      <c r="M62" s="1200"/>
      <c r="N62" s="1200"/>
      <c r="P62" s="1195"/>
      <c r="Q62" s="1196"/>
      <c r="R62" s="1195"/>
      <c r="S62" s="1201"/>
      <c r="T62" s="1204" t="s">
        <v>390</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5"/>
      <c r="T64" s="16144"/>
      <c r="U64" s="16144"/>
      <c r="V64" s="16144"/>
      <c r="W64" s="16144"/>
      <c r="X64" s="16144"/>
      <c r="Y64" s="16144"/>
      <c r="Z64" s="16144"/>
      <c r="AA64" s="16144"/>
      <c r="AB64" s="16144"/>
      <c r="AC64" s="16144"/>
      <c r="AD64" s="16144"/>
      <c r="AE64" s="16144"/>
      <c r="AF64" s="16144"/>
      <c r="AG64" s="16144"/>
      <c r="AH64" s="16144"/>
      <c r="AI64" s="16144"/>
      <c r="AJ64" s="16144"/>
      <c r="AK64" s="16144"/>
      <c r="AL64" s="16144"/>
      <c r="AM64" s="16144"/>
      <c r="AN64" s="16144"/>
      <c r="AO64" s="16144"/>
      <c r="AP64" s="16144"/>
      <c r="AQ64" s="16144"/>
      <c r="AR64" s="16144"/>
      <c r="AS64" s="16144"/>
      <c r="AT64" s="16144"/>
      <c r="AU64" s="16144"/>
    </row>
    <row r="65" spans="15:47" ht="19.5" customHeight="1">
      <c r="O65" s="443"/>
      <c r="T65" s="16144"/>
      <c r="U65" s="16144"/>
      <c r="V65" s="16144"/>
      <c r="W65" s="16144"/>
      <c r="X65" s="16144"/>
      <c r="Y65" s="16144"/>
      <c r="Z65" s="16144"/>
      <c r="AA65" s="16144"/>
      <c r="AB65" s="16144"/>
      <c r="AC65" s="16144"/>
      <c r="AD65" s="16144"/>
      <c r="AE65" s="16144"/>
      <c r="AF65" s="16144"/>
      <c r="AG65" s="16144"/>
      <c r="AH65" s="16144"/>
      <c r="AI65" s="16144"/>
      <c r="AJ65" s="16144"/>
      <c r="AK65" s="16144"/>
      <c r="AL65" s="16144"/>
      <c r="AM65" s="16144"/>
      <c r="AN65" s="16144"/>
      <c r="AO65" s="16144"/>
      <c r="AP65" s="16144"/>
      <c r="AQ65" s="16144"/>
      <c r="AR65" s="16144"/>
      <c r="AS65" s="16144"/>
      <c r="AT65" s="16144"/>
      <c r="AU65" s="16144"/>
    </row>
    <row r="66" spans="15:47" ht="14.25" customHeight="1">
      <c r="O66" s="443"/>
      <c r="T66" s="1211"/>
      <c r="U66" s="1211"/>
      <c r="V66" s="1211"/>
      <c r="W66" s="1211"/>
      <c r="X66" s="1211"/>
      <c r="Y66" s="1211"/>
      <c r="Z66" s="1211"/>
      <c r="AA66" s="1211"/>
      <c r="AB66" s="1211"/>
      <c r="AC66" s="1211"/>
      <c r="AD66" s="1211"/>
      <c r="AE66" s="1211"/>
      <c r="AF66" s="1211"/>
      <c r="AG66" s="1211"/>
      <c r="AH66" s="1211"/>
      <c r="AI66" s="1211"/>
      <c r="AJ66" s="1211"/>
      <c r="AK66" s="1211"/>
      <c r="AL66" s="1211"/>
      <c r="AM66" s="1211"/>
      <c r="AN66" s="1211"/>
      <c r="AO66" s="1211"/>
      <c r="AP66" s="1211"/>
      <c r="AQ66" s="1211"/>
      <c r="AR66" s="1211"/>
      <c r="AS66" s="1211"/>
      <c r="AT66" s="1211"/>
      <c r="AU66" s="1211"/>
    </row>
    <row r="67" spans="15:47" ht="18.75" customHeight="1">
      <c r="O67" s="443"/>
      <c r="T67" s="16144"/>
      <c r="U67" s="16144"/>
      <c r="V67" s="16144"/>
      <c r="W67" s="16144"/>
      <c r="X67" s="16144"/>
      <c r="Y67" s="16144"/>
      <c r="Z67" s="16144"/>
      <c r="AA67" s="16144"/>
      <c r="AB67" s="16144"/>
      <c r="AC67" s="16144"/>
      <c r="AD67" s="16144"/>
      <c r="AE67" s="16144"/>
      <c r="AF67" s="16144"/>
      <c r="AG67" s="16144"/>
      <c r="AH67" s="16144"/>
      <c r="AI67" s="16144"/>
      <c r="AJ67" s="16144"/>
      <c r="AK67" s="16144"/>
      <c r="AL67" s="16144"/>
      <c r="AM67" s="16144"/>
      <c r="AN67" s="16144"/>
      <c r="AO67" s="16144"/>
      <c r="AP67" s="16144"/>
      <c r="AQ67" s="16144"/>
      <c r="AR67" s="16144"/>
      <c r="AS67" s="16144"/>
      <c r="AT67" s="16144"/>
      <c r="AU67" s="16144"/>
    </row>
    <row r="68" spans="15:47" ht="15.75" customHeight="1">
      <c r="O68" s="443"/>
      <c r="T68" s="16144"/>
      <c r="U68" s="16144"/>
      <c r="V68" s="16144"/>
      <c r="W68" s="16144"/>
      <c r="X68" s="16144"/>
      <c r="Y68" s="16144"/>
      <c r="Z68" s="16144"/>
      <c r="AA68" s="16144"/>
      <c r="AB68" s="16144"/>
      <c r="AC68" s="16144"/>
      <c r="AD68" s="16144"/>
      <c r="AE68" s="16144"/>
      <c r="AF68" s="16144"/>
      <c r="AG68" s="16144"/>
      <c r="AH68" s="16144"/>
      <c r="AI68" s="16144"/>
      <c r="AJ68" s="16144"/>
      <c r="AK68" s="16144"/>
      <c r="AL68" s="16144"/>
      <c r="AM68" s="16144"/>
      <c r="AN68" s="16144"/>
      <c r="AO68" s="16144"/>
      <c r="AP68" s="16144"/>
      <c r="AQ68" s="16144"/>
      <c r="AR68" s="16144"/>
      <c r="AS68" s="16144"/>
      <c r="AT68" s="16144"/>
      <c r="AU68" s="16144"/>
    </row>
    <row r="69" spans="15:47" ht="14.25" customHeight="1">
      <c r="O69" s="44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4.140625" style="14419" hidden="1" customWidth="1"/>
    <col min="10" max="10" width="9.85546875" style="14419" hidden="1" customWidth="1"/>
    <col min="11" max="11" width="14.7109375" style="14419" hidden="1" customWidth="1"/>
    <col min="12" max="12" width="19.140625" style="14440" hidden="1" customWidth="1"/>
    <col min="13" max="14" width="12.28515625" style="14423" hidden="1" customWidth="1"/>
    <col min="15" max="15" width="23.42578125" style="14423" hidden="1" customWidth="1"/>
    <col min="16" max="16" width="3.7109375" style="14441" customWidth="1"/>
    <col min="17" max="18" width="3.7109375" style="14425" customWidth="1"/>
    <col min="19" max="19" width="12.7109375" style="14426" customWidth="1"/>
    <col min="20" max="20" width="35.7109375" style="14427" customWidth="1"/>
    <col min="21" max="21" width="0.140625" style="14427" customWidth="1"/>
    <col min="22" max="24" width="24.7109375" style="14427" hidden="1" customWidth="1"/>
    <col min="25" max="25" width="11.7109375" style="14427" hidden="1" customWidth="1"/>
    <col min="26" max="26" width="3.7109375" style="14427" hidden="1" customWidth="1"/>
    <col min="27" max="27" width="11.7109375" style="14427" hidden="1" customWidth="1"/>
    <col min="28" max="28" width="8.5703125" style="14427" hidden="1" customWidth="1"/>
    <col min="29" max="31" width="24.7109375" style="14427" customWidth="1"/>
    <col min="32" max="32" width="11.7109375" style="14427" customWidth="1"/>
    <col min="33" max="33" width="3.7109375" style="14427" customWidth="1"/>
    <col min="34" max="34" width="11.7109375" style="14427" customWidth="1"/>
    <col min="35" max="35" width="8.5703125" style="14427" hidden="1" customWidth="1"/>
    <col min="36" max="36" width="4.7109375" style="14427" customWidth="1"/>
    <col min="37" max="37" width="115.7109375" style="14427" customWidth="1"/>
    <col min="38" max="39" width="10.5703125" style="14421"/>
    <col min="40" max="40" width="11.140625" style="14421" customWidth="1"/>
    <col min="41" max="42" width="10.5703125" style="14421"/>
  </cols>
  <sheetData>
    <row r="1" spans="1:42" ht="14.25" hidden="1" customHeight="1">
      <c r="X1" s="244"/>
      <c r="Y1" s="244"/>
      <c r="AE1" s="244"/>
      <c r="AF1" s="244"/>
    </row>
    <row r="2" spans="1:42" ht="23.25" hidden="1" customHeight="1">
      <c r="A2" s="1240"/>
      <c r="B2" s="1240"/>
      <c r="C2" s="1240"/>
      <c r="D2" s="1240"/>
      <c r="E2" s="16124">
        <v>1</v>
      </c>
      <c r="F2" s="1240"/>
      <c r="G2" s="1240"/>
      <c r="H2" s="1240"/>
      <c r="I2" s="1240"/>
      <c r="J2" s="1240"/>
      <c r="K2" s="1240"/>
      <c r="L2" s="1241"/>
      <c r="M2" s="1242"/>
      <c r="N2" s="1242"/>
      <c r="O2" s="1242"/>
      <c r="P2" s="277"/>
      <c r="Q2" s="276"/>
      <c r="R2" s="271"/>
      <c r="S2" s="1301" t="e">
        <f>INDEX(PT_DIFFERENTIATION_NUM_NTAR,MATCH(A2,PT_DIFFERENTIATION_NTAR_ID,0))</f>
        <v>#N/A</v>
      </c>
      <c r="T2" s="215" t="s">
        <v>158</v>
      </c>
      <c r="U2" s="217"/>
      <c r="V2" s="16110"/>
      <c r="W2" s="16111"/>
      <c r="X2" s="16111"/>
      <c r="Y2" s="16111"/>
      <c r="Z2" s="16111"/>
      <c r="AA2" s="16111"/>
      <c r="AB2" s="16112"/>
      <c r="AC2" s="16110" t="e">
        <f>INDEX(PT_DIFFERENTIATION_NTAR,MATCH(A2,PT_DIFFERENTIATION_NTAR_ID,0))</f>
        <v>#N/A</v>
      </c>
      <c r="AD2" s="16111"/>
      <c r="AE2" s="16111"/>
      <c r="AF2" s="16111"/>
      <c r="AG2" s="16111"/>
      <c r="AH2" s="16111"/>
      <c r="AI2" s="16111"/>
      <c r="AJ2" s="16112"/>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16125"/>
      <c r="F3" s="16124">
        <v>1</v>
      </c>
      <c r="G3" s="1240"/>
      <c r="H3" s="1240"/>
      <c r="I3" s="1240"/>
      <c r="J3" s="1240"/>
      <c r="K3" s="1240"/>
      <c r="L3" s="1241"/>
      <c r="M3" s="1242"/>
      <c r="N3" s="1242"/>
      <c r="O3" s="1242"/>
      <c r="P3" s="1299"/>
      <c r="Q3" s="268"/>
      <c r="R3" s="269"/>
      <c r="S3" s="1301" t="e">
        <f>INDEX(PT_DIFFERENTIATION_NUM_TER,MATCH(B3,PT_DIFFERENTIATION_TER_ID,0))</f>
        <v>#N/A</v>
      </c>
      <c r="T3" s="225" t="s">
        <v>534</v>
      </c>
      <c r="U3" s="217"/>
      <c r="V3" s="16110"/>
      <c r="W3" s="16111"/>
      <c r="X3" s="16111"/>
      <c r="Y3" s="16111"/>
      <c r="Z3" s="16111"/>
      <c r="AA3" s="16111"/>
      <c r="AB3" s="16112"/>
      <c r="AC3" s="16110" t="e">
        <f>INDEX(PT_DIFFERENTIATION_TER,MATCH(B3,PT_DIFFERENTIATION_TER_ID,0))</f>
        <v>#N/A</v>
      </c>
      <c r="AD3" s="16111"/>
      <c r="AE3" s="16111"/>
      <c r="AF3" s="16111"/>
      <c r="AG3" s="16111"/>
      <c r="AH3" s="16111"/>
      <c r="AI3" s="16111"/>
      <c r="AJ3" s="16112"/>
      <c r="AK3" s="1140" t="s">
        <v>535</v>
      </c>
      <c r="AM3" s="407"/>
      <c r="AN3" s="407" t="str">
        <f t="shared" si="0"/>
        <v>Территория действия тарифа</v>
      </c>
      <c r="AO3" s="407"/>
      <c r="AP3" s="407"/>
    </row>
    <row r="4" spans="1:42" ht="23.25" hidden="1" customHeight="1">
      <c r="A4" s="1240"/>
      <c r="B4" s="1240"/>
      <c r="C4" s="1240"/>
      <c r="D4" s="1240"/>
      <c r="E4" s="16125"/>
      <c r="F4" s="16125"/>
      <c r="G4" s="16124">
        <v>1</v>
      </c>
      <c r="H4" s="1240"/>
      <c r="I4" s="1240"/>
      <c r="J4" s="1240"/>
      <c r="K4" s="1240"/>
      <c r="L4" s="1241"/>
      <c r="M4" s="1242"/>
      <c r="N4" s="1242"/>
      <c r="O4" s="1242"/>
      <c r="P4" s="270"/>
      <c r="Q4" s="268"/>
      <c r="R4" s="269"/>
      <c r="S4" s="1301" t="e">
        <f>INDEX(PT_DIFFERENTIATION_NUM_CS,MATCH(C4,PT_DIFFERENTIATION_CS_ID,0))</f>
        <v>#N/A</v>
      </c>
      <c r="T4" s="226" t="s">
        <v>616</v>
      </c>
      <c r="U4" s="217"/>
      <c r="V4" s="16110"/>
      <c r="W4" s="16111"/>
      <c r="X4" s="16111"/>
      <c r="Y4" s="16111"/>
      <c r="Z4" s="16111"/>
      <c r="AA4" s="16111"/>
      <c r="AB4" s="16112"/>
      <c r="AC4" s="16110" t="e">
        <f>INDEX(PT_DIFFERENTIATION_CS,MATCH(C4,PT_DIFFERENTIATION_CS_ID,0))</f>
        <v>#N/A</v>
      </c>
      <c r="AD4" s="16111"/>
      <c r="AE4" s="16111"/>
      <c r="AF4" s="16111"/>
      <c r="AG4" s="16111"/>
      <c r="AH4" s="16111"/>
      <c r="AI4" s="16111"/>
      <c r="AJ4" s="16112"/>
      <c r="AK4" s="1140" t="s">
        <v>617</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16125"/>
      <c r="F5" s="16125"/>
      <c r="G5" s="16125"/>
      <c r="H5" s="16125"/>
      <c r="I5" s="16122" t="e">
        <f>S4&amp;".1"</f>
        <v>#N/A</v>
      </c>
      <c r="J5" s="1240"/>
      <c r="K5" s="1240"/>
      <c r="L5" s="1241"/>
      <c r="P5" s="16123">
        <v>1</v>
      </c>
      <c r="Q5" s="1298"/>
      <c r="R5" s="272"/>
      <c r="S5" s="1301" t="e">
        <f>$I5</f>
        <v>#N/A</v>
      </c>
      <c r="T5" s="202" t="s">
        <v>618</v>
      </c>
      <c r="U5" s="217"/>
      <c r="V5" s="16183"/>
      <c r="W5" s="16184"/>
      <c r="X5" s="16184"/>
      <c r="Y5" s="16184"/>
      <c r="Z5" s="16184"/>
      <c r="AA5" s="16184"/>
      <c r="AB5" s="16185"/>
      <c r="AC5" s="16186"/>
      <c r="AD5" s="16187"/>
      <c r="AE5" s="16187"/>
      <c r="AF5" s="16187"/>
      <c r="AG5" s="16187"/>
      <c r="AH5" s="16187"/>
      <c r="AI5" s="16187"/>
      <c r="AJ5" s="16188"/>
      <c r="AK5" s="1140" t="s">
        <v>619</v>
      </c>
      <c r="AM5" s="407"/>
      <c r="AN5" s="407" t="str">
        <f t="shared" si="0"/>
        <v>Наименование признака дифференциации</v>
      </c>
      <c r="AO5" s="407"/>
      <c r="AP5" s="407"/>
    </row>
    <row r="6" spans="1:42" ht="23.25" hidden="1" customHeight="1">
      <c r="A6" s="1240"/>
      <c r="B6" s="1240"/>
      <c r="C6" s="1240"/>
      <c r="D6" s="1240"/>
      <c r="E6" s="16125"/>
      <c r="F6" s="16125"/>
      <c r="G6" s="16125"/>
      <c r="H6" s="16125"/>
      <c r="I6" s="16145"/>
      <c r="J6" s="16122" t="e">
        <f>I5&amp;".1"</f>
        <v>#N/A</v>
      </c>
      <c r="K6" s="1240"/>
      <c r="L6" s="1241" t="s">
        <v>543</v>
      </c>
      <c r="P6" s="16123"/>
      <c r="Q6" s="16123">
        <v>1</v>
      </c>
      <c r="R6" s="273"/>
      <c r="S6" s="1301" t="e">
        <f>$J6</f>
        <v>#N/A</v>
      </c>
      <c r="T6" s="203" t="s">
        <v>544</v>
      </c>
      <c r="U6" s="217"/>
      <c r="V6" s="16113"/>
      <c r="W6" s="16114"/>
      <c r="X6" s="16114"/>
      <c r="Y6" s="16114"/>
      <c r="Z6" s="16114"/>
      <c r="AA6" s="16114"/>
      <c r="AB6" s="16115"/>
      <c r="AC6" s="16113"/>
      <c r="AD6" s="16114"/>
      <c r="AE6" s="16114"/>
      <c r="AF6" s="16114"/>
      <c r="AG6" s="16114"/>
      <c r="AH6" s="16114"/>
      <c r="AI6" s="16114"/>
      <c r="AJ6" s="16115"/>
      <c r="AK6" s="1187" t="s">
        <v>620</v>
      </c>
      <c r="AM6" s="407"/>
      <c r="AN6" s="407" t="str">
        <f t="shared" si="0"/>
        <v>Группа потребителей</v>
      </c>
      <c r="AO6" s="407"/>
      <c r="AP6" s="407"/>
    </row>
    <row r="7" spans="1:42" ht="23.25" hidden="1" customHeight="1">
      <c r="A7" s="1240"/>
      <c r="B7" s="1240"/>
      <c r="C7" s="1240"/>
      <c r="D7" s="1240"/>
      <c r="E7" s="16125"/>
      <c r="F7" s="16125"/>
      <c r="G7" s="16125"/>
      <c r="H7" s="16125"/>
      <c r="I7" s="16145"/>
      <c r="J7" s="16145"/>
      <c r="K7" s="16122" t="e">
        <f>J6&amp;".1"</f>
        <v>#N/A</v>
      </c>
      <c r="L7" s="1241"/>
      <c r="P7" s="16123"/>
      <c r="Q7" s="16123"/>
      <c r="R7" s="273">
        <v>1</v>
      </c>
      <c r="S7" s="1301" t="e">
        <f>$K7</f>
        <v>#N/A</v>
      </c>
      <c r="T7" s="1313"/>
      <c r="U7" s="217"/>
      <c r="V7" s="649"/>
      <c r="W7" s="649"/>
      <c r="X7" s="1139"/>
      <c r="Y7" s="16127"/>
      <c r="Z7" s="15973" t="s">
        <v>66</v>
      </c>
      <c r="AA7" s="16127"/>
      <c r="AB7" s="15973" t="s">
        <v>66</v>
      </c>
      <c r="AC7" s="649"/>
      <c r="AD7" s="649"/>
      <c r="AE7" s="1139"/>
      <c r="AF7" s="16127"/>
      <c r="AG7" s="15973" t="s">
        <v>66</v>
      </c>
      <c r="AH7" s="16146"/>
      <c r="AI7" s="15973" t="s">
        <v>66</v>
      </c>
      <c r="AJ7" s="1314"/>
      <c r="AK7"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16125"/>
      <c r="F8" s="16125"/>
      <c r="G8" s="16125"/>
      <c r="H8" s="16125"/>
      <c r="I8" s="16145"/>
      <c r="J8" s="16145"/>
      <c r="K8" s="16122"/>
      <c r="L8" s="1241"/>
      <c r="P8" s="16123"/>
      <c r="Q8" s="16123"/>
      <c r="R8" s="273"/>
      <c r="S8" s="1300"/>
      <c r="T8" s="217"/>
      <c r="U8" s="217"/>
      <c r="V8" s="242"/>
      <c r="W8" s="242"/>
      <c r="X8" s="245" t="str">
        <f>Y7&amp;"-"&amp;AA7</f>
        <v>-</v>
      </c>
      <c r="Y8" s="16128"/>
      <c r="Z8" s="15973"/>
      <c r="AA8" s="16128"/>
      <c r="AB8" s="15973"/>
      <c r="AC8" s="242"/>
      <c r="AD8" s="242"/>
      <c r="AE8" s="245" t="str">
        <f>AF7&amp;"-"&amp;AH7</f>
        <v>-</v>
      </c>
      <c r="AF8" s="16128"/>
      <c r="AG8" s="15973"/>
      <c r="AH8" s="16147"/>
      <c r="AI8" s="15973"/>
      <c r="AJ8" s="1315"/>
      <c r="AK8" s="16182"/>
      <c r="AM8" s="407"/>
      <c r="AN8" s="407" t="str">
        <f t="shared" si="0"/>
        <v/>
      </c>
      <c r="AO8" s="407"/>
      <c r="AP8" s="407"/>
    </row>
    <row r="9" spans="1:42" ht="21" hidden="1" customHeight="1">
      <c r="A9" s="1240"/>
      <c r="B9" s="1240"/>
      <c r="C9" s="1240"/>
      <c r="D9" s="1240"/>
      <c r="E9" s="16125"/>
      <c r="F9" s="16125"/>
      <c r="G9" s="16125"/>
      <c r="H9" s="16125"/>
      <c r="I9" s="16145"/>
      <c r="J9" s="16122"/>
      <c r="K9" s="1240"/>
      <c r="L9" s="1241"/>
      <c r="P9" s="16123"/>
      <c r="Q9" s="16123"/>
      <c r="R9" s="272"/>
      <c r="S9" s="1160"/>
      <c r="T9" s="204" t="s">
        <v>621</v>
      </c>
      <c r="U9" s="282"/>
      <c r="V9" s="282"/>
      <c r="W9" s="282"/>
      <c r="X9" s="282"/>
      <c r="Y9" s="282"/>
      <c r="Z9" s="282"/>
      <c r="AA9" s="282"/>
      <c r="AB9" s="282"/>
      <c r="AC9" s="282"/>
      <c r="AD9" s="282"/>
      <c r="AE9" s="282"/>
      <c r="AF9" s="282"/>
      <c r="AG9" s="282"/>
      <c r="AH9" s="282"/>
      <c r="AI9" s="282"/>
      <c r="AJ9" s="282"/>
      <c r="AK9" s="1140" t="s">
        <v>622</v>
      </c>
      <c r="AM9" s="407"/>
      <c r="AN9" s="407" t="str">
        <f t="shared" si="0"/>
        <v>Добавить значение признака дифференциации</v>
      </c>
      <c r="AO9" s="407"/>
      <c r="AP9" s="407"/>
    </row>
    <row r="10" spans="1:42" ht="21" hidden="1" customHeight="1">
      <c r="A10" s="1240"/>
      <c r="B10" s="1240"/>
      <c r="C10" s="1240"/>
      <c r="D10" s="1240"/>
      <c r="E10" s="16125"/>
      <c r="F10" s="16125"/>
      <c r="G10" s="16125"/>
      <c r="H10" s="16125"/>
      <c r="I10" s="16122"/>
      <c r="J10" s="1240"/>
      <c r="K10" s="1240"/>
      <c r="L10" s="1241"/>
      <c r="P10" s="16123"/>
      <c r="Q10" s="1298"/>
      <c r="R10" s="272"/>
      <c r="S10" s="1160"/>
      <c r="T10" s="280" t="s">
        <v>549</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14.25" hidden="1" customHeight="1">
      <c r="A11" s="1240"/>
      <c r="B11" s="1240"/>
      <c r="C11" s="1240"/>
      <c r="D11" s="1240"/>
      <c r="E11" s="16125"/>
      <c r="F11" s="16125"/>
      <c r="G11" s="16125"/>
      <c r="H11" s="16124"/>
      <c r="I11" s="1240"/>
      <c r="J11" s="1240"/>
      <c r="K11" s="1240"/>
      <c r="L11" s="1241"/>
      <c r="M11" s="1242"/>
      <c r="N11" s="1242"/>
      <c r="O11" s="443"/>
      <c r="P11" s="276"/>
      <c r="Q11" s="290"/>
      <c r="R11" s="271"/>
      <c r="S11" s="1160"/>
      <c r="T11" s="287" t="s">
        <v>623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4418" customFormat="1" ht="14.25" hidden="1" customHeight="1">
      <c r="A12" s="1221"/>
      <c r="B12" s="1221"/>
      <c r="C12" s="1193"/>
      <c r="D12" s="1193"/>
      <c r="E12" s="16125"/>
      <c r="F12" s="16124"/>
      <c r="G12" s="1193"/>
      <c r="H12" s="1193"/>
      <c r="I12" s="1193"/>
      <c r="J12" s="1193"/>
      <c r="K12" s="1193"/>
      <c r="L12" s="1302"/>
      <c r="M12" s="1200"/>
      <c r="N12" s="1200"/>
      <c r="P12" s="1195"/>
      <c r="Q12" s="1196"/>
      <c r="R12" s="1195"/>
      <c r="S12" s="1201"/>
      <c r="T12" s="1204" t="s">
        <v>290</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4421" customFormat="1" ht="14.25" hidden="1" customHeight="1">
      <c r="A13" s="1221"/>
      <c r="B13" s="1221"/>
      <c r="C13" s="1221"/>
      <c r="D13" s="1221"/>
      <c r="E13" s="16124"/>
      <c r="F13" s="1221"/>
      <c r="G13" s="1221"/>
      <c r="H13" s="1221"/>
      <c r="I13" s="1221"/>
      <c r="J13" s="1221"/>
      <c r="K13" s="1221"/>
      <c r="L13" s="1224"/>
      <c r="M13" s="1200"/>
      <c r="N13" s="1200"/>
      <c r="O13" s="425"/>
      <c r="P13" s="295"/>
      <c r="Q13" s="1222"/>
      <c r="R13" s="295"/>
      <c r="S13" s="1201"/>
      <c r="T13" s="1204" t="s">
        <v>326</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16129"/>
      <c r="AG15" s="16130" t="s">
        <v>66</v>
      </c>
      <c r="AH15" s="16129"/>
      <c r="AI15" s="16130" t="s">
        <v>66</v>
      </c>
    </row>
    <row r="16" spans="1:42" ht="14.25" hidden="1" customHeight="1">
      <c r="AC16" s="1237"/>
      <c r="AD16" s="1237"/>
      <c r="AE16" s="245" t="str">
        <f>AF15&amp;"-"&amp;AH15</f>
        <v>-</v>
      </c>
      <c r="AF16" s="16130"/>
      <c r="AG16" s="16130"/>
      <c r="AH16" s="16130"/>
      <c r="AI16" s="16130"/>
    </row>
    <row r="17" spans="1:42" ht="14.25" hidden="1" customHeight="1">
      <c r="AI17" s="244"/>
    </row>
    <row r="18" spans="1:42" s="14419" customFormat="1" ht="22.5" hidden="1" customHeight="1">
      <c r="L18" s="1297"/>
      <c r="M18" s="1239"/>
      <c r="N18" s="1239"/>
      <c r="O18" s="1244" t="s">
        <v>552</v>
      </c>
      <c r="P18" s="1239"/>
      <c r="Q18" s="1248"/>
      <c r="R18" s="1248"/>
      <c r="S18" s="629"/>
      <c r="Y18" s="1244"/>
      <c r="AA18" s="1244"/>
      <c r="AB18" s="1243"/>
      <c r="AF18" s="1244"/>
      <c r="AH18" s="1244"/>
      <c r="AI18" s="1243"/>
      <c r="AL18" s="418"/>
      <c r="AM18" s="418"/>
      <c r="AN18" s="418"/>
      <c r="AO18" s="418"/>
      <c r="AP18" s="418"/>
    </row>
    <row r="19" spans="1:42" s="14419" customFormat="1" ht="14.25" hidden="1" customHeight="1">
      <c r="L19" s="1297"/>
      <c r="M19" s="1239"/>
      <c r="N19" s="1239"/>
      <c r="O19" s="1239"/>
      <c r="P19" s="1239"/>
      <c r="Q19" s="1248"/>
      <c r="R19" s="1248"/>
      <c r="S19" s="629"/>
      <c r="AB19" s="1243"/>
      <c r="AI19" s="1243"/>
      <c r="AL19" s="418"/>
      <c r="AM19" s="418"/>
      <c r="AN19" s="418"/>
      <c r="AO19" s="418"/>
      <c r="AP19" s="418"/>
    </row>
    <row r="20" spans="1:42" s="14419" customFormat="1" ht="12" hidden="1" customHeight="1">
      <c r="L20" s="1297"/>
      <c r="M20" s="1239"/>
      <c r="N20" s="1239"/>
      <c r="O20" s="1241" t="s">
        <v>553</v>
      </c>
      <c r="P20" s="1239"/>
      <c r="Q20" s="1317"/>
      <c r="R20" s="1317"/>
      <c r="S20" s="629"/>
      <c r="T20" s="1041" t="s">
        <v>554</v>
      </c>
      <c r="Z20" s="108" t="s">
        <v>555</v>
      </c>
      <c r="AB20" s="108" t="s">
        <v>556</v>
      </c>
      <c r="AC20" s="1041" t="s">
        <v>554</v>
      </c>
      <c r="AG20" s="108" t="s">
        <v>557</v>
      </c>
      <c r="AI20" s="108" t="s">
        <v>556</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1610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6108"/>
      <c r="U24" s="16108"/>
      <c r="V24" s="16108"/>
      <c r="W24" s="16108"/>
      <c r="X24" s="16108"/>
      <c r="Y24" s="16108"/>
      <c r="Z24" s="16108"/>
      <c r="AA24" s="16108"/>
      <c r="AB24" s="16108"/>
      <c r="AC24" s="16108"/>
      <c r="AD24" s="16108"/>
      <c r="AE24" s="16108"/>
      <c r="AF24" s="16108"/>
      <c r="AG24" s="16108"/>
      <c r="AH24" s="16108"/>
      <c r="AI24" s="1125"/>
    </row>
    <row r="25" spans="1:42" ht="14.25" customHeight="1">
      <c r="Q25" s="291"/>
      <c r="R25" s="291"/>
      <c r="S25" s="16056" t="str">
        <f>IF(org=0,"Не определено",org)</f>
        <v>АО "Мурманэнергосбыт"</v>
      </c>
      <c r="T25" s="16056"/>
      <c r="U25" s="16056"/>
      <c r="V25" s="16056"/>
      <c r="W25" s="16056"/>
      <c r="X25" s="16056"/>
      <c r="Y25" s="16056"/>
      <c r="Z25" s="16056"/>
      <c r="AA25" s="16056"/>
      <c r="AB25" s="16056"/>
      <c r="AC25" s="16056"/>
      <c r="AD25" s="16056"/>
      <c r="AE25" s="16056"/>
      <c r="AF25" s="16056"/>
      <c r="AG25" s="16056"/>
      <c r="AH25" s="16056"/>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4420" customFormat="1" ht="25.5" customHeight="1">
      <c r="A27" s="1245"/>
      <c r="B27" s="1245"/>
      <c r="C27" s="1245"/>
      <c r="D27" s="1245"/>
      <c r="E27" s="1245"/>
      <c r="F27" s="1245"/>
      <c r="G27" s="1245"/>
      <c r="H27" s="1245"/>
      <c r="I27" s="1245"/>
      <c r="J27" s="1245"/>
      <c r="K27" s="1245"/>
      <c r="L27" s="1246"/>
      <c r="M27" s="1245"/>
      <c r="N27" s="1245"/>
      <c r="O27" s="1245"/>
      <c r="S27" s="16116" t="s">
        <v>38</v>
      </c>
      <c r="T27" s="16116"/>
      <c r="U27" s="1249"/>
      <c r="V27" s="16117" t="str">
        <f>IF(TITLE_NAME_OR_PR_CHANGE="",IF(TITLE_NAME_OR_PR="","",TITLE_NAME_OR_PR),TITLE_NAME_OR_PR_CHANGE)</f>
        <v>Комитет по тарифному регулированию Мурманской области</v>
      </c>
      <c r="W27" s="16117"/>
      <c r="X27" s="16117"/>
      <c r="Y27" s="16117"/>
      <c r="Z27" s="16117"/>
      <c r="AA27" s="16117"/>
      <c r="AB27" s="243"/>
      <c r="AC27" s="16117" t="str">
        <f>IF(TITLE_NAME_OR_PR_CHANGE="",IF(TITLE_NAME_OR_PR="","",TITLE_NAME_OR_PR),TITLE_NAME_OR_PR_CHANGE)</f>
        <v>Комитет по тарифному регулированию Мурманской области</v>
      </c>
      <c r="AD27" s="16117"/>
      <c r="AE27" s="16117"/>
      <c r="AF27" s="16117"/>
      <c r="AG27" s="16117"/>
      <c r="AH27" s="16117"/>
      <c r="AI27" s="243"/>
      <c r="AJ27" s="243"/>
      <c r="AK27" s="198"/>
      <c r="AL27" s="283"/>
      <c r="AM27" s="283"/>
      <c r="AN27" s="283"/>
      <c r="AO27" s="283"/>
      <c r="AP27" s="283"/>
    </row>
    <row r="28" spans="1:42" s="14420" customFormat="1" ht="18.75" customHeight="1">
      <c r="A28" s="1245"/>
      <c r="B28" s="1245"/>
      <c r="C28" s="1245"/>
      <c r="D28" s="1245"/>
      <c r="E28" s="1245"/>
      <c r="F28" s="1245"/>
      <c r="G28" s="1245"/>
      <c r="H28" s="1245"/>
      <c r="I28" s="1245"/>
      <c r="J28" s="1245"/>
      <c r="K28" s="1245"/>
      <c r="L28" s="1246"/>
      <c r="M28" s="1245"/>
      <c r="N28" s="1245"/>
      <c r="O28" s="1245"/>
      <c r="S28" s="16116" t="s">
        <v>558</v>
      </c>
      <c r="T28" s="16116"/>
      <c r="U28" s="1249"/>
      <c r="V28" s="16126">
        <f>IF(TITLE_DATE_PR_CHANGE="",IF(TITLE_DATE_PR="","",TITLE_DATE_PR),TITLE_DATE_PR_CHANGE)</f>
        <v>45379</v>
      </c>
      <c r="W28" s="16126"/>
      <c r="X28" s="16126"/>
      <c r="Y28" s="16126"/>
      <c r="Z28" s="16126"/>
      <c r="AA28" s="16126"/>
      <c r="AB28" s="243"/>
      <c r="AC28" s="16126">
        <f>IF(TITLE_DATE_PR_CHANGE="",IF(TITLE_DATE_PR="","",TITLE_DATE_PR),TITLE_DATE_PR_CHANGE)</f>
        <v>45379</v>
      </c>
      <c r="AD28" s="16126"/>
      <c r="AE28" s="16126"/>
      <c r="AF28" s="16126"/>
      <c r="AG28" s="16126"/>
      <c r="AH28" s="16126"/>
      <c r="AI28" s="243"/>
      <c r="AJ28" s="243"/>
      <c r="AK28" s="198"/>
      <c r="AL28" s="283"/>
      <c r="AM28" s="283"/>
      <c r="AN28" s="283"/>
      <c r="AO28" s="283"/>
      <c r="AP28" s="283"/>
    </row>
    <row r="29" spans="1:42" s="14420" customFormat="1" ht="18.75" customHeight="1">
      <c r="A29" s="1245"/>
      <c r="B29" s="1245"/>
      <c r="C29" s="1245"/>
      <c r="D29" s="1245"/>
      <c r="E29" s="1245"/>
      <c r="F29" s="1245"/>
      <c r="G29" s="1245"/>
      <c r="H29" s="1245"/>
      <c r="I29" s="1245"/>
      <c r="J29" s="1245"/>
      <c r="K29" s="1245"/>
      <c r="L29" s="1246"/>
      <c r="M29" s="1245"/>
      <c r="N29" s="1245"/>
      <c r="O29" s="1245"/>
      <c r="S29" s="16116" t="s">
        <v>559</v>
      </c>
      <c r="T29" s="16116"/>
      <c r="U29" s="1249"/>
      <c r="V29" s="16117" t="str">
        <f>IF(TITLE_NUMBER_PR_CHANGE="",IF(TITLE_NUMBER_PR="","",TITLE_NUMBER_PR),TITLE_NUMBER_PR_CHANGE)</f>
        <v>8/6</v>
      </c>
      <c r="W29" s="16117"/>
      <c r="X29" s="16117"/>
      <c r="Y29" s="16117"/>
      <c r="Z29" s="16117"/>
      <c r="AA29" s="16117"/>
      <c r="AB29" s="243"/>
      <c r="AC29" s="16117" t="str">
        <f>IF(TITLE_NUMBER_PR_CHANGE="",IF(TITLE_NUMBER_PR="","",TITLE_NUMBER_PR),TITLE_NUMBER_PR_CHANGE)</f>
        <v>8/6</v>
      </c>
      <c r="AD29" s="16117"/>
      <c r="AE29" s="16117"/>
      <c r="AF29" s="16117"/>
      <c r="AG29" s="16117"/>
      <c r="AH29" s="16117"/>
      <c r="AI29" s="243"/>
      <c r="AJ29" s="243"/>
      <c r="AK29" s="198"/>
      <c r="AL29" s="283"/>
      <c r="AM29" s="283"/>
      <c r="AN29" s="283"/>
      <c r="AO29" s="283"/>
      <c r="AP29" s="283"/>
    </row>
    <row r="30" spans="1:42" s="14420" customFormat="1" ht="18.75" customHeight="1">
      <c r="A30" s="1245"/>
      <c r="B30" s="1245"/>
      <c r="C30" s="1245"/>
      <c r="D30" s="1245"/>
      <c r="E30" s="1245"/>
      <c r="F30" s="1245"/>
      <c r="G30" s="1245"/>
      <c r="H30" s="1245"/>
      <c r="I30" s="1245"/>
      <c r="J30" s="1245"/>
      <c r="K30" s="1245"/>
      <c r="L30" s="1246"/>
      <c r="M30" s="1245"/>
      <c r="N30" s="1245"/>
      <c r="O30" s="1245"/>
      <c r="S30" s="16116" t="s">
        <v>40</v>
      </c>
      <c r="T30" s="16116"/>
      <c r="U30" s="1249"/>
      <c r="V30" s="16117" t="str">
        <f>IF(TITLE_IST_PUB_CHANGE="",IF(TITLE_IST_PUB="","",TITLE_IST_PUB),TITLE_IST_PUB_CHANGE)</f>
        <v>https://npa.gov-murman.ru/bitrix/components/b1team/govmurman.element.file/download.php?ID=518761&amp;FID=765125</v>
      </c>
      <c r="W30" s="16117"/>
      <c r="X30" s="16117"/>
      <c r="Y30" s="16117"/>
      <c r="Z30" s="16117"/>
      <c r="AA30" s="16117"/>
      <c r="AB30" s="243"/>
      <c r="AC30" s="16117" t="str">
        <f>IF(TITLE_IST_PUB_CHANGE="",IF(TITLE_IST_PUB="","",TITLE_IST_PUB),TITLE_IST_PUB_CHANGE)</f>
        <v>https://npa.gov-murman.ru/bitrix/components/b1team/govmurman.element.file/download.php?ID=518761&amp;FID=765125</v>
      </c>
      <c r="AD30" s="16117"/>
      <c r="AE30" s="16117"/>
      <c r="AF30" s="16117"/>
      <c r="AG30" s="16117"/>
      <c r="AH30" s="16117"/>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4420" customFormat="1" ht="18.75" hidden="1" customHeight="1">
      <c r="A32" s="1245"/>
      <c r="B32" s="1245"/>
      <c r="C32" s="1245"/>
      <c r="D32" s="1245"/>
      <c r="E32" s="1245"/>
      <c r="F32" s="1245"/>
      <c r="G32" s="1245"/>
      <c r="H32" s="1245"/>
      <c r="I32" s="1245"/>
      <c r="J32" s="1245"/>
      <c r="K32" s="1245"/>
      <c r="L32" s="1246"/>
      <c r="M32" s="1245"/>
      <c r="N32" s="1245"/>
      <c r="O32" s="1245"/>
      <c r="S32" s="16116" t="s">
        <v>560</v>
      </c>
      <c r="T32" s="16116"/>
      <c r="U32" s="1249"/>
      <c r="V32" s="16126">
        <f>IF(TITLE_DATE_PR_CHANGE="",IF(TITLE_DATE_PR="","",TITLE_DATE_PR),TITLE_DATE_PR_CHANGE)</f>
        <v>45379</v>
      </c>
      <c r="W32" s="16126"/>
      <c r="X32" s="16126"/>
      <c r="Y32" s="16126"/>
      <c r="Z32" s="16126"/>
      <c r="AA32" s="16126"/>
      <c r="AB32" s="243"/>
      <c r="AC32" s="16126">
        <f>IF(TITLE_DATE_PR_CHANGE="",IF(TITLE_DATE_PR="","",TITLE_DATE_PR),TITLE_DATE_PR_CHANGE)</f>
        <v>45379</v>
      </c>
      <c r="AD32" s="16126"/>
      <c r="AE32" s="16126"/>
      <c r="AF32" s="16126"/>
      <c r="AG32" s="16126"/>
      <c r="AH32" s="16126"/>
      <c r="AI32" s="243"/>
      <c r="AJ32" s="243"/>
      <c r="AK32" s="198"/>
      <c r="AL32" s="283"/>
      <c r="AM32" s="283"/>
      <c r="AN32" s="283"/>
      <c r="AO32" s="283"/>
      <c r="AP32" s="283"/>
    </row>
    <row r="33" spans="1:42" s="14420" customFormat="1" ht="18.75" hidden="1" customHeight="1">
      <c r="A33" s="1245"/>
      <c r="B33" s="1245"/>
      <c r="C33" s="1245"/>
      <c r="D33" s="1245"/>
      <c r="E33" s="1245"/>
      <c r="F33" s="1245"/>
      <c r="G33" s="1245"/>
      <c r="H33" s="1245"/>
      <c r="I33" s="1245"/>
      <c r="J33" s="1245"/>
      <c r="K33" s="1245"/>
      <c r="L33" s="1246"/>
      <c r="M33" s="1245"/>
      <c r="N33" s="1245"/>
      <c r="O33" s="1245"/>
      <c r="S33" s="16116" t="s">
        <v>561</v>
      </c>
      <c r="T33" s="16116"/>
      <c r="U33" s="1249"/>
      <c r="V33" s="16117" t="str">
        <f>IF(TITLE_NUMBER_PR_CHANGE="",IF(TITLE_NUMBER_PR="","",TITLE_NUMBER_PR),TITLE_NUMBER_PR_CHANGE)</f>
        <v>8/6</v>
      </c>
      <c r="W33" s="16117"/>
      <c r="X33" s="16117"/>
      <c r="Y33" s="16117"/>
      <c r="Z33" s="16117"/>
      <c r="AA33" s="16117"/>
      <c r="AB33" s="243"/>
      <c r="AC33" s="16117" t="str">
        <f>IF(TITLE_NUMBER_PR_CHANGE="",IF(TITLE_NUMBER_PR="","",TITLE_NUMBER_PR),TITLE_NUMBER_PR_CHANGE)</f>
        <v>8/6</v>
      </c>
      <c r="AD33" s="16117"/>
      <c r="AE33" s="16117"/>
      <c r="AF33" s="16117"/>
      <c r="AG33" s="16117"/>
      <c r="AH33" s="16117"/>
      <c r="AI33" s="243"/>
      <c r="AJ33" s="243"/>
      <c r="AK33" s="198"/>
      <c r="AL33" s="283"/>
      <c r="AM33" s="283"/>
      <c r="AN33" s="283"/>
      <c r="AO33" s="283"/>
      <c r="AP33" s="283"/>
    </row>
    <row r="34" spans="1:42" s="14420" customFormat="1" ht="0.75" customHeight="1">
      <c r="A34" s="1245"/>
      <c r="B34" s="1245"/>
      <c r="C34" s="1245"/>
      <c r="D34" s="1245"/>
      <c r="E34" s="1245"/>
      <c r="F34" s="1245"/>
      <c r="G34" s="1245"/>
      <c r="H34" s="1245"/>
      <c r="I34" s="1245"/>
      <c r="J34" s="1245"/>
      <c r="K34" s="1245"/>
      <c r="L34" s="1246"/>
      <c r="M34" s="1245"/>
      <c r="N34" s="1245"/>
      <c r="O34" s="1245"/>
      <c r="S34" s="240"/>
      <c r="T34" s="240"/>
      <c r="U34" s="1232"/>
      <c r="V34" s="243"/>
      <c r="W34" s="243"/>
      <c r="X34" s="243"/>
      <c r="Y34" s="243"/>
      <c r="Z34" s="243"/>
      <c r="AA34" s="243"/>
      <c r="AB34" s="196" t="s">
        <v>562</v>
      </c>
      <c r="AC34" s="243"/>
      <c r="AD34" s="243"/>
      <c r="AE34" s="243"/>
      <c r="AF34" s="243"/>
      <c r="AG34" s="243"/>
      <c r="AH34" s="243"/>
      <c r="AI34" s="196" t="s">
        <v>562</v>
      </c>
      <c r="AL34" s="283"/>
      <c r="AM34" s="283"/>
      <c r="AN34" s="283"/>
      <c r="AO34" s="283"/>
      <c r="AP34" s="283"/>
    </row>
    <row r="35" spans="1:42" ht="14.25" customHeight="1">
      <c r="Q35" s="291"/>
      <c r="R35" s="291"/>
      <c r="S35" s="1157"/>
      <c r="T35" s="279"/>
      <c r="U35" s="1126"/>
      <c r="V35" s="16118"/>
      <c r="W35" s="16118"/>
      <c r="X35" s="16118"/>
      <c r="Y35" s="16118"/>
      <c r="Z35" s="16118"/>
      <c r="AA35" s="16118"/>
      <c r="AB35" s="16118"/>
      <c r="AC35" s="16118"/>
      <c r="AD35" s="16118"/>
      <c r="AE35" s="16118"/>
      <c r="AF35" s="16118"/>
      <c r="AG35" s="16118"/>
      <c r="AH35" s="16118"/>
      <c r="AI35" s="16118"/>
    </row>
    <row r="36" spans="1:42" ht="14.25" customHeight="1">
      <c r="Q36" s="291"/>
      <c r="R36" s="291"/>
      <c r="S36" s="15992" t="s">
        <v>437</v>
      </c>
      <c r="T36" s="15992"/>
      <c r="U36" s="15992"/>
      <c r="V36" s="15992"/>
      <c r="W36" s="15992"/>
      <c r="X36" s="15992"/>
      <c r="Y36" s="15992"/>
      <c r="Z36" s="15992"/>
      <c r="AA36" s="15992"/>
      <c r="AB36" s="15992"/>
      <c r="AC36" s="15992"/>
      <c r="AD36" s="15992"/>
      <c r="AE36" s="15992"/>
      <c r="AF36" s="15992"/>
      <c r="AG36" s="15992"/>
      <c r="AH36" s="15992"/>
      <c r="AI36" s="15992"/>
      <c r="AJ36" s="15992"/>
      <c r="AK36" s="15992" t="s">
        <v>438</v>
      </c>
    </row>
    <row r="37" spans="1:42" ht="14.25" customHeight="1">
      <c r="Q37" s="291"/>
      <c r="R37" s="291"/>
      <c r="S37" s="16132" t="s">
        <v>87</v>
      </c>
      <c r="T37" s="16084" t="s">
        <v>563</v>
      </c>
      <c r="U37" s="218"/>
      <c r="V37" s="16133" t="s">
        <v>564</v>
      </c>
      <c r="W37" s="16134"/>
      <c r="X37" s="16134"/>
      <c r="Y37" s="16134"/>
      <c r="Z37" s="16134"/>
      <c r="AA37" s="16135"/>
      <c r="AB37" s="16136" t="s">
        <v>565</v>
      </c>
      <c r="AC37" s="16133" t="s">
        <v>564</v>
      </c>
      <c r="AD37" s="16134"/>
      <c r="AE37" s="16134"/>
      <c r="AF37" s="16134"/>
      <c r="AG37" s="16134"/>
      <c r="AH37" s="16135"/>
      <c r="AI37" s="16136" t="s">
        <v>566</v>
      </c>
      <c r="AJ37" s="16139" t="s">
        <v>567</v>
      </c>
      <c r="AK37" s="15992"/>
    </row>
    <row r="38" spans="1:42" ht="33.75" customHeight="1">
      <c r="Q38" s="291"/>
      <c r="R38" s="291"/>
      <c r="S38" s="16132"/>
      <c r="T38" s="16084"/>
      <c r="U38" s="919"/>
      <c r="V38" s="1229" t="s">
        <v>624</v>
      </c>
      <c r="W38" s="15963" t="s">
        <v>570</v>
      </c>
      <c r="X38" s="15962"/>
      <c r="Y38" s="15963" t="s">
        <v>571</v>
      </c>
      <c r="Z38" s="15968"/>
      <c r="AA38" s="15962"/>
      <c r="AB38" s="16137"/>
      <c r="AC38" s="1229" t="s">
        <v>624</v>
      </c>
      <c r="AD38" s="15963" t="s">
        <v>570</v>
      </c>
      <c r="AE38" s="15962"/>
      <c r="AF38" s="15963" t="s">
        <v>571</v>
      </c>
      <c r="AG38" s="15968"/>
      <c r="AH38" s="15962"/>
      <c r="AI38" s="16137"/>
      <c r="AJ38" s="16140"/>
      <c r="AK38" s="15992"/>
    </row>
    <row r="39" spans="1:42" ht="33.75" customHeight="1">
      <c r="A39" s="1247"/>
      <c r="B39" s="1247" t="s">
        <v>170</v>
      </c>
      <c r="C39" s="1247" t="s">
        <v>171</v>
      </c>
      <c r="D39" s="1247" t="s">
        <v>172</v>
      </c>
      <c r="E39" s="1241" t="s">
        <v>572</v>
      </c>
      <c r="F39" s="1241" t="s">
        <v>573</v>
      </c>
      <c r="G39" s="1241" t="s">
        <v>574</v>
      </c>
      <c r="H39" s="1241"/>
      <c r="I39" s="1241" t="s">
        <v>625</v>
      </c>
      <c r="J39" s="1241" t="s">
        <v>577</v>
      </c>
      <c r="K39" s="1241" t="s">
        <v>626</v>
      </c>
      <c r="L39" s="1241" t="s">
        <v>553</v>
      </c>
      <c r="Q39" s="291"/>
      <c r="R39" s="291"/>
      <c r="S39" s="16132"/>
      <c r="T39" s="16084"/>
      <c r="U39" s="219"/>
      <c r="V39" s="1229" t="s">
        <v>627</v>
      </c>
      <c r="W39" s="1104" t="s">
        <v>628</v>
      </c>
      <c r="X39" s="1104" t="s">
        <v>629</v>
      </c>
      <c r="Y39" s="1234" t="s">
        <v>581</v>
      </c>
      <c r="Z39" s="16092" t="s">
        <v>582</v>
      </c>
      <c r="AA39" s="16094"/>
      <c r="AB39" s="16138"/>
      <c r="AC39" s="1229" t="s">
        <v>627</v>
      </c>
      <c r="AD39" s="1104" t="s">
        <v>628</v>
      </c>
      <c r="AE39" s="1104" t="s">
        <v>629</v>
      </c>
      <c r="AF39" s="1234" t="s">
        <v>581</v>
      </c>
      <c r="AG39" s="16092" t="s">
        <v>582</v>
      </c>
      <c r="AH39" s="16094"/>
      <c r="AI39" s="16138"/>
      <c r="AJ39" s="16141"/>
      <c r="AK39" s="15992"/>
    </row>
    <row r="40" spans="1:42" s="14405" customFormat="1" ht="11.25"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147</v>
      </c>
      <c r="T40" s="1137" t="s">
        <v>102</v>
      </c>
      <c r="U40" s="1127" t="str">
        <f ca="1">OFFSET(U40,0,-1)</f>
        <v>2</v>
      </c>
      <c r="V40" s="1230">
        <f ca="1">OFFSET(V40,0,-1)+1</f>
        <v>3</v>
      </c>
      <c r="W40" s="1230">
        <f ca="1">OFFSET(W40,0,-1)+1</f>
        <v>4</v>
      </c>
      <c r="X40" s="1230">
        <f ca="1">OFFSET(X40,0,-1)+1</f>
        <v>5</v>
      </c>
      <c r="Y40" s="1230">
        <f ca="1">OFFSET(Y40,0,-1)+1</f>
        <v>6</v>
      </c>
      <c r="Z40" s="16131">
        <f ca="1">OFFSET(Z40,0,-1)+1</f>
        <v>7</v>
      </c>
      <c r="AA40" s="16131"/>
      <c r="AB40" s="1230">
        <f ca="1">OFFSET(AB40,0,-2)+1</f>
        <v>8</v>
      </c>
      <c r="AC40" s="1230">
        <f ca="1">OFFSET(AC40,0,-1)+1</f>
        <v>9</v>
      </c>
      <c r="AD40" s="1230">
        <f ca="1">OFFSET(AD40,0,-1)+1</f>
        <v>10</v>
      </c>
      <c r="AE40" s="1230">
        <f ca="1">OFFSET(AE40,0,-1)+1</f>
        <v>11</v>
      </c>
      <c r="AF40" s="1230">
        <f ca="1">OFFSET(AF40,0,-1)+1</f>
        <v>12</v>
      </c>
      <c r="AG40" s="16131">
        <f ca="1">OFFSET(AG40,0,-1)+1</f>
        <v>13</v>
      </c>
      <c r="AH40" s="16131"/>
      <c r="AI40" s="1230">
        <f ca="1">OFFSET(AI40,0,-2)+1</f>
        <v>14</v>
      </c>
      <c r="AJ40" s="1127">
        <f ca="1">OFFSET(AJ40,0,-1)</f>
        <v>14</v>
      </c>
      <c r="AK40" s="1230">
        <f ca="1">OFFSET(AK40,0,-1)+1</f>
        <v>15</v>
      </c>
      <c r="AL40" s="418"/>
      <c r="AM40" s="418"/>
      <c r="AN40" s="418"/>
      <c r="AO40" s="418"/>
      <c r="AP40" s="418"/>
    </row>
    <row r="41" spans="1:42" ht="23.25" customHeight="1">
      <c r="A41" s="1240" t="s">
        <v>255</v>
      </c>
      <c r="B41" s="1240"/>
      <c r="C41" s="1240"/>
      <c r="D41" s="1240"/>
      <c r="E41" s="16124">
        <v>1</v>
      </c>
      <c r="F41" s="1240"/>
      <c r="G41" s="1240"/>
      <c r="H41" s="1240"/>
      <c r="I41" s="1240"/>
      <c r="J41" s="1240"/>
      <c r="K41" s="1240"/>
      <c r="L41" s="1241"/>
      <c r="M41" s="1242"/>
      <c r="N41" s="1242"/>
      <c r="O41" s="1242"/>
      <c r="P41" s="277"/>
      <c r="Q41" s="276"/>
      <c r="R41" s="271"/>
      <c r="S41" s="1235">
        <f>INDEX(PT_DIFFERENTIATION_NUM_NTAR,MATCH(A41,PT_DIFFERENTIATION_NTAR_ID,0))</f>
        <v>0</v>
      </c>
      <c r="T41" s="215" t="s">
        <v>158</v>
      </c>
      <c r="U41" s="217"/>
      <c r="V41" s="16110"/>
      <c r="W41" s="16111"/>
      <c r="X41" s="16111"/>
      <c r="Y41" s="16111"/>
      <c r="Z41" s="16111"/>
      <c r="AA41" s="16111"/>
      <c r="AB41" s="16112"/>
      <c r="AC41" s="16110" t="str">
        <f>INDEX(PT_DIFFERENTIATION_NTAR,MATCH(A41,PT_DIFFERENTIATION_NTAR_ID,0))</f>
        <v/>
      </c>
      <c r="AD41" s="16111"/>
      <c r="AE41" s="16111"/>
      <c r="AF41" s="16111"/>
      <c r="AG41" s="16111"/>
      <c r="AH41" s="16111"/>
      <c r="AI41" s="16111"/>
      <c r="AJ41" s="16112"/>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255</v>
      </c>
      <c r="B42" s="1240" t="s">
        <v>256</v>
      </c>
      <c r="C42" s="1240"/>
      <c r="D42" s="1240"/>
      <c r="E42" s="16125"/>
      <c r="F42" s="16124">
        <v>1</v>
      </c>
      <c r="G42" s="1240"/>
      <c r="H42" s="1240"/>
      <c r="I42" s="1240"/>
      <c r="J42" s="1240"/>
      <c r="K42" s="1240"/>
      <c r="L42" s="1241"/>
      <c r="M42" s="1242"/>
      <c r="N42" s="1242"/>
      <c r="O42" s="1242"/>
      <c r="P42" s="1233"/>
      <c r="Q42" s="268"/>
      <c r="R42" s="269"/>
      <c r="S42" s="1235" t="str">
        <f>INDEX(PT_DIFFERENTIATION_NUM_TER,MATCH(B42,PT_DIFFERENTIATION_TER_ID,0))</f>
        <v>.</v>
      </c>
      <c r="T42" s="225" t="s">
        <v>534</v>
      </c>
      <c r="U42" s="217"/>
      <c r="V42" s="16110"/>
      <c r="W42" s="16111"/>
      <c r="X42" s="16111"/>
      <c r="Y42" s="16111"/>
      <c r="Z42" s="16111"/>
      <c r="AA42" s="16111"/>
      <c r="AB42" s="16112"/>
      <c r="AC42" s="16110" t="str">
        <f>INDEX(PT_DIFFERENTIATION_TER,MATCH(B42,PT_DIFFERENTIATION_TER_ID,0))</f>
        <v/>
      </c>
      <c r="AD42" s="16111"/>
      <c r="AE42" s="16111"/>
      <c r="AF42" s="16111"/>
      <c r="AG42" s="16111"/>
      <c r="AH42" s="16111"/>
      <c r="AI42" s="16111"/>
      <c r="AJ42" s="16112"/>
      <c r="AK42" s="1140" t="s">
        <v>535</v>
      </c>
      <c r="AM42" s="407"/>
      <c r="AN42" s="407" t="str">
        <f t="shared" si="1"/>
        <v>Территория действия тарифа</v>
      </c>
      <c r="AO42" s="407"/>
      <c r="AP42" s="407"/>
    </row>
    <row r="43" spans="1:42" ht="23.25" customHeight="1">
      <c r="A43" s="1240" t="s">
        <v>255</v>
      </c>
      <c r="B43" s="1240" t="s">
        <v>256</v>
      </c>
      <c r="C43" s="1240" t="s">
        <v>257</v>
      </c>
      <c r="D43" s="1240"/>
      <c r="E43" s="16125"/>
      <c r="F43" s="16125"/>
      <c r="G43" s="16124">
        <v>1</v>
      </c>
      <c r="H43" s="1240"/>
      <c r="I43" s="1240"/>
      <c r="J43" s="1240"/>
      <c r="K43" s="1240"/>
      <c r="L43" s="1241"/>
      <c r="M43" s="1242"/>
      <c r="N43" s="1242"/>
      <c r="O43" s="1242"/>
      <c r="P43" s="270"/>
      <c r="Q43" s="268"/>
      <c r="R43" s="269"/>
      <c r="S43" s="1235" t="str">
        <f>INDEX(PT_DIFFERENTIATION_NUM_CS,MATCH(C43,PT_DIFFERENTIATION_CS_ID,0))</f>
        <v>..</v>
      </c>
      <c r="T43" s="226" t="s">
        <v>616</v>
      </c>
      <c r="U43" s="217"/>
      <c r="V43" s="16110"/>
      <c r="W43" s="16111"/>
      <c r="X43" s="16111"/>
      <c r="Y43" s="16111"/>
      <c r="Z43" s="16111"/>
      <c r="AA43" s="16111"/>
      <c r="AB43" s="16112"/>
      <c r="AC43" s="16110" t="str">
        <f>INDEX(PT_DIFFERENTIATION_CS,MATCH(C43,PT_DIFFERENTIATION_CS_ID,0))</f>
        <v/>
      </c>
      <c r="AD43" s="16111"/>
      <c r="AE43" s="16111"/>
      <c r="AF43" s="16111"/>
      <c r="AG43" s="16111"/>
      <c r="AH43" s="16111"/>
      <c r="AI43" s="16111"/>
      <c r="AJ43" s="16112"/>
      <c r="AK43" s="1140" t="s">
        <v>617</v>
      </c>
      <c r="AM43" s="407"/>
      <c r="AN43" s="407" t="str">
        <f t="shared" si="1"/>
        <v>Наименование централизованной системы холодного водоснабжения</v>
      </c>
      <c r="AO43" s="407"/>
      <c r="AP43" s="407"/>
    </row>
    <row r="44" spans="1:42" ht="23.25" customHeight="1">
      <c r="A44" s="1240" t="s">
        <v>255</v>
      </c>
      <c r="B44" s="1240" t="s">
        <v>256</v>
      </c>
      <c r="C44" s="1240" t="s">
        <v>257</v>
      </c>
      <c r="D44" s="1240" t="s">
        <v>630</v>
      </c>
      <c r="E44" s="16125"/>
      <c r="F44" s="16125"/>
      <c r="G44" s="16125"/>
      <c r="H44" s="16125"/>
      <c r="I44" s="16122" t="str">
        <f>S43&amp;".1"</f>
        <v>...1</v>
      </c>
      <c r="J44" s="1240"/>
      <c r="K44" s="1240"/>
      <c r="L44" s="1241"/>
      <c r="P44" s="16123">
        <v>1</v>
      </c>
      <c r="Q44" s="1231"/>
      <c r="R44" s="272"/>
      <c r="S44" s="1235" t="str">
        <f>$I44</f>
        <v>...1</v>
      </c>
      <c r="T44" s="202" t="s">
        <v>618</v>
      </c>
      <c r="U44" s="217"/>
      <c r="V44" s="16183"/>
      <c r="W44" s="16184"/>
      <c r="X44" s="16184"/>
      <c r="Y44" s="16184"/>
      <c r="Z44" s="16184"/>
      <c r="AA44" s="16184"/>
      <c r="AB44" s="16185"/>
      <c r="AC44" s="16186"/>
      <c r="AD44" s="16187"/>
      <c r="AE44" s="16187"/>
      <c r="AF44" s="16187"/>
      <c r="AG44" s="16187"/>
      <c r="AH44" s="16187"/>
      <c r="AI44" s="16187"/>
      <c r="AJ44" s="16188"/>
      <c r="AK44" s="1140" t="s">
        <v>619</v>
      </c>
      <c r="AM44" s="407"/>
      <c r="AN44" s="407" t="str">
        <f t="shared" si="1"/>
        <v>Наименование признака дифференциации</v>
      </c>
      <c r="AO44" s="407"/>
      <c r="AP44" s="407"/>
    </row>
    <row r="45" spans="1:42" ht="23.25" customHeight="1">
      <c r="A45" s="1240" t="s">
        <v>255</v>
      </c>
      <c r="B45" s="1240" t="s">
        <v>256</v>
      </c>
      <c r="C45" s="1240" t="s">
        <v>257</v>
      </c>
      <c r="D45" s="1240" t="s">
        <v>630</v>
      </c>
      <c r="E45" s="16125"/>
      <c r="F45" s="16125"/>
      <c r="G45" s="16125"/>
      <c r="H45" s="16125"/>
      <c r="I45" s="16145"/>
      <c r="J45" s="16122" t="str">
        <f>I44&amp;".1"</f>
        <v>...1.1</v>
      </c>
      <c r="K45" s="1240"/>
      <c r="L45" s="1241" t="s">
        <v>543</v>
      </c>
      <c r="P45" s="16123"/>
      <c r="Q45" s="16123">
        <v>1</v>
      </c>
      <c r="R45" s="273"/>
      <c r="S45" s="1235" t="str">
        <f>$J45</f>
        <v>...1.1</v>
      </c>
      <c r="T45" s="203" t="s">
        <v>544</v>
      </c>
      <c r="U45" s="217"/>
      <c r="V45" s="16113"/>
      <c r="W45" s="16114"/>
      <c r="X45" s="16114"/>
      <c r="Y45" s="16114"/>
      <c r="Z45" s="16114"/>
      <c r="AA45" s="16114"/>
      <c r="AB45" s="16115"/>
      <c r="AC45" s="16113"/>
      <c r="AD45" s="16114"/>
      <c r="AE45" s="16114"/>
      <c r="AF45" s="16114"/>
      <c r="AG45" s="16114"/>
      <c r="AH45" s="16114"/>
      <c r="AI45" s="16114"/>
      <c r="AJ45" s="16115"/>
      <c r="AK45" s="1187" t="s">
        <v>620</v>
      </c>
      <c r="AM45" s="407"/>
      <c r="AN45" s="407" t="str">
        <f t="shared" si="1"/>
        <v>Группа потребителей</v>
      </c>
      <c r="AO45" s="407"/>
      <c r="AP45" s="407"/>
    </row>
    <row r="46" spans="1:42" ht="23.25" customHeight="1">
      <c r="A46" s="1240" t="s">
        <v>255</v>
      </c>
      <c r="B46" s="1240" t="s">
        <v>256</v>
      </c>
      <c r="C46" s="1240" t="s">
        <v>257</v>
      </c>
      <c r="D46" s="1240" t="s">
        <v>630</v>
      </c>
      <c r="E46" s="16125"/>
      <c r="F46" s="16125"/>
      <c r="G46" s="16125"/>
      <c r="H46" s="16125"/>
      <c r="I46" s="16145"/>
      <c r="J46" s="16145"/>
      <c r="K46" s="16122" t="str">
        <f>J45&amp;".1"</f>
        <v>...1.1.1</v>
      </c>
      <c r="L46" s="1241"/>
      <c r="P46" s="16123"/>
      <c r="Q46" s="16123"/>
      <c r="R46" s="273">
        <v>1</v>
      </c>
      <c r="S46" s="1235" t="str">
        <f>$K46</f>
        <v>...1.1.1</v>
      </c>
      <c r="T46" s="1313"/>
      <c r="U46" s="217"/>
      <c r="V46" s="1237"/>
      <c r="W46" s="1237"/>
      <c r="X46" s="1238"/>
      <c r="Y46" s="16129"/>
      <c r="Z46" s="16130" t="s">
        <v>66</v>
      </c>
      <c r="AA46" s="16129"/>
      <c r="AB46" s="16130" t="s">
        <v>66</v>
      </c>
      <c r="AC46" s="649"/>
      <c r="AD46" s="649"/>
      <c r="AE46" s="1139"/>
      <c r="AF46" s="16127"/>
      <c r="AG46" s="15973" t="s">
        <v>66</v>
      </c>
      <c r="AH46" s="16146"/>
      <c r="AI46" s="15973" t="s">
        <v>56</v>
      </c>
      <c r="AJ46" s="1314"/>
      <c r="AK46"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255</v>
      </c>
      <c r="B47" s="1240" t="s">
        <v>256</v>
      </c>
      <c r="C47" s="1240" t="s">
        <v>257</v>
      </c>
      <c r="D47" s="1240" t="s">
        <v>630</v>
      </c>
      <c r="E47" s="16125"/>
      <c r="F47" s="16125"/>
      <c r="G47" s="16125"/>
      <c r="H47" s="16125"/>
      <c r="I47" s="16145"/>
      <c r="J47" s="16145"/>
      <c r="K47" s="16122"/>
      <c r="L47" s="1241"/>
      <c r="P47" s="16123"/>
      <c r="Q47" s="16123"/>
      <c r="R47" s="273"/>
      <c r="S47" s="1236"/>
      <c r="T47" s="217"/>
      <c r="U47" s="217"/>
      <c r="V47" s="1237"/>
      <c r="W47" s="1237"/>
      <c r="X47" s="245" t="str">
        <f>Y46&amp;"-"&amp;AA46</f>
        <v>-</v>
      </c>
      <c r="Y47" s="16130"/>
      <c r="Z47" s="16130"/>
      <c r="AA47" s="16130"/>
      <c r="AB47" s="16130"/>
      <c r="AC47" s="242"/>
      <c r="AD47" s="242"/>
      <c r="AE47" s="245" t="str">
        <f>AF46&amp;"-"&amp;AH46</f>
        <v>-</v>
      </c>
      <c r="AF47" s="16128"/>
      <c r="AG47" s="15973"/>
      <c r="AH47" s="16147"/>
      <c r="AI47" s="15973"/>
      <c r="AJ47" s="1315"/>
      <c r="AK47" s="16182"/>
      <c r="AM47" s="407"/>
      <c r="AN47" s="407" t="str">
        <f t="shared" si="1"/>
        <v/>
      </c>
      <c r="AO47" s="407"/>
      <c r="AP47" s="407"/>
    </row>
    <row r="48" spans="1:42" ht="21" customHeight="1">
      <c r="A48" s="1240" t="s">
        <v>255</v>
      </c>
      <c r="B48" s="1240" t="s">
        <v>256</v>
      </c>
      <c r="C48" s="1240" t="s">
        <v>257</v>
      </c>
      <c r="D48" s="1240" t="s">
        <v>630</v>
      </c>
      <c r="E48" s="16125"/>
      <c r="F48" s="16125"/>
      <c r="G48" s="16125"/>
      <c r="H48" s="16125"/>
      <c r="I48" s="16145"/>
      <c r="J48" s="16122"/>
      <c r="K48" s="1240"/>
      <c r="L48" s="1241"/>
      <c r="P48" s="16123"/>
      <c r="Q48" s="16123"/>
      <c r="R48" s="272"/>
      <c r="S48" s="1160"/>
      <c r="T48" s="204" t="s">
        <v>621</v>
      </c>
      <c r="U48" s="282"/>
      <c r="V48" s="282"/>
      <c r="W48" s="282"/>
      <c r="X48" s="282"/>
      <c r="Y48" s="282"/>
      <c r="Z48" s="282"/>
      <c r="AA48" s="282"/>
      <c r="AB48" s="282"/>
      <c r="AC48" s="282"/>
      <c r="AD48" s="282"/>
      <c r="AE48" s="282"/>
      <c r="AF48" s="282"/>
      <c r="AG48" s="282"/>
      <c r="AH48" s="282"/>
      <c r="AI48" s="282"/>
      <c r="AJ48" s="282"/>
      <c r="AK48" s="1140" t="s">
        <v>622</v>
      </c>
      <c r="AM48" s="407"/>
      <c r="AN48" s="407" t="str">
        <f t="shared" si="1"/>
        <v>Добавить значение признака дифференциации</v>
      </c>
      <c r="AO48" s="407"/>
      <c r="AP48" s="407"/>
    </row>
    <row r="49" spans="1:42" ht="21" customHeight="1">
      <c r="A49" s="1240" t="s">
        <v>255</v>
      </c>
      <c r="B49" s="1240" t="s">
        <v>256</v>
      </c>
      <c r="C49" s="1240" t="s">
        <v>257</v>
      </c>
      <c r="D49" s="1240" t="s">
        <v>630</v>
      </c>
      <c r="E49" s="16125"/>
      <c r="F49" s="16125"/>
      <c r="G49" s="16125"/>
      <c r="H49" s="16125"/>
      <c r="I49" s="16122"/>
      <c r="J49" s="1240"/>
      <c r="K49" s="1240"/>
      <c r="L49" s="1241"/>
      <c r="P49" s="16123"/>
      <c r="Q49" s="1231"/>
      <c r="R49" s="272"/>
      <c r="S49" s="1160"/>
      <c r="T49" s="280" t="s">
        <v>549</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255</v>
      </c>
      <c r="B50" s="1240" t="s">
        <v>256</v>
      </c>
      <c r="C50" s="1240" t="s">
        <v>257</v>
      </c>
      <c r="D50" s="1240" t="s">
        <v>630</v>
      </c>
      <c r="E50" s="16125"/>
      <c r="F50" s="16125"/>
      <c r="G50" s="16125"/>
      <c r="H50" s="16124"/>
      <c r="I50" s="1240"/>
      <c r="J50" s="1240"/>
      <c r="K50" s="1240"/>
      <c r="L50" s="1241"/>
      <c r="M50" s="1242"/>
      <c r="N50" s="1242"/>
      <c r="O50" s="443"/>
      <c r="P50" s="276"/>
      <c r="Q50" s="290"/>
      <c r="R50" s="271"/>
      <c r="S50" s="1160"/>
      <c r="T50" s="287" t="s">
        <v>623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4418" customFormat="1" ht="0" hidden="1" customHeight="1">
      <c r="A51" s="1221" t="s">
        <v>255</v>
      </c>
      <c r="B51" s="1221" t="s">
        <v>256</v>
      </c>
      <c r="C51" s="1193"/>
      <c r="D51" s="1193"/>
      <c r="E51" s="16125"/>
      <c r="F51" s="16124"/>
      <c r="G51" s="1193"/>
      <c r="H51" s="1193"/>
      <c r="I51" s="1193"/>
      <c r="J51" s="1193"/>
      <c r="K51" s="1193"/>
      <c r="L51" s="1302"/>
      <c r="M51" s="1200"/>
      <c r="N51" s="1200"/>
      <c r="P51" s="1195"/>
      <c r="Q51" s="1196"/>
      <c r="R51" s="1195"/>
      <c r="S51" s="1201"/>
      <c r="T51" s="1204" t="s">
        <v>290</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4421" customFormat="1" ht="0" hidden="1" customHeight="1">
      <c r="A52" s="1221" t="s">
        <v>255</v>
      </c>
      <c r="B52" s="1221"/>
      <c r="C52" s="1221"/>
      <c r="D52" s="1221"/>
      <c r="E52" s="16124"/>
      <c r="F52" s="1221"/>
      <c r="G52" s="1221"/>
      <c r="H52" s="1221"/>
      <c r="I52" s="1221"/>
      <c r="J52" s="1221"/>
      <c r="K52" s="1221"/>
      <c r="L52" s="1224"/>
      <c r="M52" s="1200"/>
      <c r="N52" s="1200"/>
      <c r="O52" s="425"/>
      <c r="P52" s="295"/>
      <c r="Q52" s="1222"/>
      <c r="R52" s="295"/>
      <c r="S52" s="1201"/>
      <c r="T52" s="1204" t="s">
        <v>326</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4418" customFormat="1" ht="0" hidden="1" customHeight="1">
      <c r="A53" s="1193"/>
      <c r="B53" s="1193"/>
      <c r="C53" s="1193"/>
      <c r="D53" s="1193"/>
      <c r="E53" s="1221"/>
      <c r="F53" s="1193"/>
      <c r="G53" s="1193"/>
      <c r="H53" s="1193"/>
      <c r="I53" s="1193"/>
      <c r="J53" s="1193"/>
      <c r="K53" s="1193"/>
      <c r="L53" s="1302"/>
      <c r="M53" s="1200"/>
      <c r="N53" s="1200"/>
      <c r="P53" s="1195"/>
      <c r="Q53" s="1196"/>
      <c r="R53" s="1195"/>
      <c r="S53" s="1201"/>
      <c r="T53" s="1204" t="s">
        <v>390</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16144"/>
      <c r="U55" s="16144"/>
      <c r="V55" s="16144"/>
      <c r="W55" s="16144"/>
      <c r="X55" s="16144"/>
      <c r="Y55" s="16144"/>
      <c r="Z55" s="16144"/>
      <c r="AA55" s="16144"/>
      <c r="AB55" s="16144"/>
      <c r="AC55" s="16144"/>
      <c r="AD55" s="16144"/>
      <c r="AE55" s="16144"/>
      <c r="AF55" s="16144"/>
      <c r="AG55" s="16144"/>
      <c r="AH55" s="16144"/>
      <c r="AI55" s="16144"/>
      <c r="AJ55" s="16144"/>
      <c r="AK55" s="16144"/>
    </row>
    <row r="56" spans="1:42" ht="14.25" customHeight="1">
      <c r="O56" s="443"/>
    </row>
    <row r="57" spans="1:42" ht="14.25" customHeight="1">
      <c r="O57" s="443"/>
      <c r="S57" s="1135"/>
      <c r="T57" s="16144"/>
      <c r="U57" s="16144"/>
      <c r="V57" s="16144"/>
      <c r="W57" s="16144"/>
      <c r="X57" s="16144"/>
      <c r="Y57" s="16144"/>
      <c r="Z57" s="16144"/>
      <c r="AA57" s="16144"/>
      <c r="AB57" s="16144"/>
      <c r="AC57" s="16144"/>
      <c r="AD57" s="16144"/>
      <c r="AE57" s="16144"/>
      <c r="AF57" s="16144"/>
      <c r="AG57" s="16144"/>
      <c r="AH57" s="16144"/>
      <c r="AI57" s="16144"/>
      <c r="AJ57" s="16144"/>
      <c r="AK57" s="1614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4.140625" style="14419" hidden="1" customWidth="1"/>
    <col min="10" max="10" width="9.85546875" style="14419" hidden="1" customWidth="1"/>
    <col min="11" max="11" width="14.7109375" style="14419" hidden="1" customWidth="1"/>
    <col min="12" max="12" width="19.140625" style="14442" hidden="1" customWidth="1"/>
    <col min="13" max="14" width="12.28515625" style="14423" hidden="1" customWidth="1"/>
    <col min="15" max="15" width="23.42578125" style="14423" hidden="1" customWidth="1"/>
    <col min="16" max="16" width="3.7109375" style="14443" customWidth="1"/>
    <col min="17" max="18" width="3.7109375" style="14425" customWidth="1"/>
    <col min="19" max="19" width="12.7109375" style="14426" customWidth="1"/>
    <col min="20" max="20" width="35.7109375" style="14427" customWidth="1"/>
    <col min="21" max="21" width="0.140625" style="14427" customWidth="1"/>
    <col min="22" max="24" width="24.7109375" style="14427" hidden="1" customWidth="1"/>
    <col min="25" max="25" width="11.7109375" style="14427" hidden="1" customWidth="1"/>
    <col min="26" max="26" width="3.7109375" style="14427" hidden="1" customWidth="1"/>
    <col min="27" max="27" width="11.7109375" style="14427" hidden="1" customWidth="1"/>
    <col min="28" max="28" width="8.5703125" style="14427" hidden="1" customWidth="1"/>
    <col min="29" max="31" width="24.7109375" style="14427" customWidth="1"/>
    <col min="32" max="32" width="11.7109375" style="14427" customWidth="1"/>
    <col min="33" max="33" width="3.7109375" style="14427" customWidth="1"/>
    <col min="34" max="34" width="11.7109375" style="14427" customWidth="1"/>
    <col min="35" max="35" width="8.5703125" style="14427" hidden="1" customWidth="1"/>
    <col min="36" max="36" width="4.7109375" style="14427" customWidth="1"/>
    <col min="37" max="37" width="115.7109375" style="14427" customWidth="1"/>
    <col min="38" max="39" width="10.5703125" style="14421"/>
    <col min="40" max="40" width="11.140625" style="14421" customWidth="1"/>
    <col min="41" max="42" width="10.5703125" style="14421"/>
  </cols>
  <sheetData>
    <row r="1" spans="1:42" ht="14.25" hidden="1" customHeight="1">
      <c r="X1" s="244"/>
      <c r="Y1" s="244"/>
      <c r="AE1" s="244"/>
      <c r="AF1" s="244"/>
    </row>
    <row r="2" spans="1:42" ht="23.25" hidden="1" customHeight="1">
      <c r="A2" s="1240"/>
      <c r="B2" s="1240"/>
      <c r="C2" s="1240"/>
      <c r="D2" s="1240"/>
      <c r="E2" s="16124">
        <v>1</v>
      </c>
      <c r="F2" s="1240"/>
      <c r="G2" s="1240"/>
      <c r="H2" s="1240"/>
      <c r="I2" s="1240"/>
      <c r="J2" s="1240"/>
      <c r="K2" s="1240"/>
      <c r="L2" s="1241"/>
      <c r="M2" s="1242"/>
      <c r="N2" s="1242"/>
      <c r="O2" s="1242"/>
      <c r="P2" s="277"/>
      <c r="Q2" s="276"/>
      <c r="R2" s="271"/>
      <c r="S2" s="1331" t="e">
        <f>INDEX(PT_DIFFERENTIATION_NUM_NTAR,MATCH(A2,PT_DIFFERENTIATION_NTAR_ID,0))</f>
        <v>#N/A</v>
      </c>
      <c r="T2" s="215" t="s">
        <v>158</v>
      </c>
      <c r="U2" s="217"/>
      <c r="V2" s="16110"/>
      <c r="W2" s="16111"/>
      <c r="X2" s="16111"/>
      <c r="Y2" s="16111"/>
      <c r="Z2" s="16111"/>
      <c r="AA2" s="16111"/>
      <c r="AB2" s="16112"/>
      <c r="AC2" s="16110" t="e">
        <f>INDEX(PT_DIFFERENTIATION_NTAR,MATCH(A2,PT_DIFFERENTIATION_NTAR_ID,0))</f>
        <v>#N/A</v>
      </c>
      <c r="AD2" s="16111"/>
      <c r="AE2" s="16111"/>
      <c r="AF2" s="16111"/>
      <c r="AG2" s="16111"/>
      <c r="AH2" s="16111"/>
      <c r="AI2" s="16111"/>
      <c r="AJ2" s="16112"/>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16125"/>
      <c r="F3" s="16124">
        <v>1</v>
      </c>
      <c r="G3" s="1240"/>
      <c r="H3" s="1240"/>
      <c r="I3" s="1240"/>
      <c r="J3" s="1240"/>
      <c r="K3" s="1240"/>
      <c r="L3" s="1241"/>
      <c r="M3" s="1242"/>
      <c r="N3" s="1242"/>
      <c r="O3" s="1242"/>
      <c r="P3" s="1327"/>
      <c r="Q3" s="268"/>
      <c r="R3" s="269"/>
      <c r="S3" s="1331" t="e">
        <f>INDEX(PT_DIFFERENTIATION_NUM_TER,MATCH(B3,PT_DIFFERENTIATION_TER_ID,0))</f>
        <v>#N/A</v>
      </c>
      <c r="T3" s="225" t="s">
        <v>534</v>
      </c>
      <c r="U3" s="217"/>
      <c r="V3" s="16110"/>
      <c r="W3" s="16111"/>
      <c r="X3" s="16111"/>
      <c r="Y3" s="16111"/>
      <c r="Z3" s="16111"/>
      <c r="AA3" s="16111"/>
      <c r="AB3" s="16112"/>
      <c r="AC3" s="16110" t="e">
        <f>INDEX(PT_DIFFERENTIATION_TER,MATCH(B3,PT_DIFFERENTIATION_TER_ID,0))</f>
        <v>#N/A</v>
      </c>
      <c r="AD3" s="16111"/>
      <c r="AE3" s="16111"/>
      <c r="AF3" s="16111"/>
      <c r="AG3" s="16111"/>
      <c r="AH3" s="16111"/>
      <c r="AI3" s="16111"/>
      <c r="AJ3" s="16112"/>
      <c r="AK3" s="1140" t="s">
        <v>535</v>
      </c>
      <c r="AM3" s="407"/>
      <c r="AN3" s="407" t="str">
        <f t="shared" si="0"/>
        <v>Территория действия тарифа</v>
      </c>
      <c r="AO3" s="407"/>
      <c r="AP3" s="407"/>
    </row>
    <row r="4" spans="1:42" ht="23.25" hidden="1" customHeight="1">
      <c r="A4" s="1240"/>
      <c r="B4" s="1240"/>
      <c r="C4" s="1240"/>
      <c r="D4" s="1240"/>
      <c r="E4" s="16125"/>
      <c r="F4" s="16125"/>
      <c r="G4" s="16124">
        <v>1</v>
      </c>
      <c r="H4" s="1240"/>
      <c r="I4" s="1240"/>
      <c r="J4" s="1240"/>
      <c r="K4" s="1240"/>
      <c r="L4" s="1241"/>
      <c r="M4" s="1242"/>
      <c r="N4" s="1242"/>
      <c r="O4" s="1242"/>
      <c r="P4" s="270"/>
      <c r="Q4" s="268"/>
      <c r="R4" s="269"/>
      <c r="S4" s="1331" t="e">
        <f>INDEX(PT_DIFFERENTIATION_NUM_CS,MATCH(C4,PT_DIFFERENTIATION_CS_ID,0))</f>
        <v>#N/A</v>
      </c>
      <c r="T4" s="226" t="s">
        <v>616</v>
      </c>
      <c r="U4" s="217"/>
      <c r="V4" s="16110"/>
      <c r="W4" s="16111"/>
      <c r="X4" s="16111"/>
      <c r="Y4" s="16111"/>
      <c r="Z4" s="16111"/>
      <c r="AA4" s="16111"/>
      <c r="AB4" s="16112"/>
      <c r="AC4" s="16110" t="e">
        <f>INDEX(PT_DIFFERENTIATION_CS,MATCH(C4,PT_DIFFERENTIATION_CS_ID,0))</f>
        <v>#N/A</v>
      </c>
      <c r="AD4" s="16111"/>
      <c r="AE4" s="16111"/>
      <c r="AF4" s="16111"/>
      <c r="AG4" s="16111"/>
      <c r="AH4" s="16111"/>
      <c r="AI4" s="16111"/>
      <c r="AJ4" s="16112"/>
      <c r="AK4" s="1140" t="s">
        <v>617</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16125"/>
      <c r="F5" s="16125"/>
      <c r="G5" s="16125"/>
      <c r="H5" s="16125"/>
      <c r="I5" s="16122" t="e">
        <f>S4&amp;".1"</f>
        <v>#N/A</v>
      </c>
      <c r="J5" s="1240"/>
      <c r="K5" s="1240"/>
      <c r="L5" s="1241"/>
      <c r="P5" s="16123">
        <v>1</v>
      </c>
      <c r="Q5" s="1324"/>
      <c r="R5" s="272"/>
      <c r="S5" s="1331" t="e">
        <f>$I5</f>
        <v>#N/A</v>
      </c>
      <c r="T5" s="202" t="s">
        <v>618</v>
      </c>
      <c r="U5" s="217"/>
      <c r="V5" s="16183"/>
      <c r="W5" s="16184"/>
      <c r="X5" s="16184"/>
      <c r="Y5" s="16184"/>
      <c r="Z5" s="16184"/>
      <c r="AA5" s="16184"/>
      <c r="AB5" s="16185"/>
      <c r="AC5" s="16186"/>
      <c r="AD5" s="16187"/>
      <c r="AE5" s="16187"/>
      <c r="AF5" s="16187"/>
      <c r="AG5" s="16187"/>
      <c r="AH5" s="16187"/>
      <c r="AI5" s="16187"/>
      <c r="AJ5" s="16188"/>
      <c r="AK5" s="1140" t="s">
        <v>619</v>
      </c>
      <c r="AM5" s="407"/>
      <c r="AN5" s="407" t="str">
        <f t="shared" si="0"/>
        <v>Наименование признака дифференциации</v>
      </c>
      <c r="AO5" s="407"/>
      <c r="AP5" s="407"/>
    </row>
    <row r="6" spans="1:42" ht="23.25" hidden="1" customHeight="1">
      <c r="A6" s="1240"/>
      <c r="B6" s="1240"/>
      <c r="C6" s="1240"/>
      <c r="D6" s="1240"/>
      <c r="E6" s="16125"/>
      <c r="F6" s="16125"/>
      <c r="G6" s="16125"/>
      <c r="H6" s="16125"/>
      <c r="I6" s="16145"/>
      <c r="J6" s="16122" t="e">
        <f>I5&amp;".1"</f>
        <v>#N/A</v>
      </c>
      <c r="K6" s="1240"/>
      <c r="L6" s="1241" t="s">
        <v>543</v>
      </c>
      <c r="P6" s="16123"/>
      <c r="Q6" s="16123">
        <v>1</v>
      </c>
      <c r="R6" s="273"/>
      <c r="S6" s="1331" t="e">
        <f>$J6</f>
        <v>#N/A</v>
      </c>
      <c r="T6" s="203" t="s">
        <v>544</v>
      </c>
      <c r="U6" s="217"/>
      <c r="V6" s="16113"/>
      <c r="W6" s="16114"/>
      <c r="X6" s="16114"/>
      <c r="Y6" s="16114"/>
      <c r="Z6" s="16114"/>
      <c r="AA6" s="16114"/>
      <c r="AB6" s="16115"/>
      <c r="AC6" s="16113"/>
      <c r="AD6" s="16114"/>
      <c r="AE6" s="16114"/>
      <c r="AF6" s="16114"/>
      <c r="AG6" s="16114"/>
      <c r="AH6" s="16114"/>
      <c r="AI6" s="16114"/>
      <c r="AJ6" s="16115"/>
      <c r="AK6" s="1187" t="s">
        <v>620</v>
      </c>
      <c r="AM6" s="407"/>
      <c r="AN6" s="407" t="str">
        <f t="shared" si="0"/>
        <v>Группа потребителей</v>
      </c>
      <c r="AO6" s="407"/>
      <c r="AP6" s="407"/>
    </row>
    <row r="7" spans="1:42" ht="23.25" hidden="1" customHeight="1">
      <c r="A7" s="1240"/>
      <c r="B7" s="1240"/>
      <c r="C7" s="1240"/>
      <c r="D7" s="1240"/>
      <c r="E7" s="16125"/>
      <c r="F7" s="16125"/>
      <c r="G7" s="16125"/>
      <c r="H7" s="16125"/>
      <c r="I7" s="16145"/>
      <c r="J7" s="16145"/>
      <c r="K7" s="16122" t="e">
        <f>J6&amp;".1"</f>
        <v>#N/A</v>
      </c>
      <c r="L7" s="1241"/>
      <c r="P7" s="16123"/>
      <c r="Q7" s="16123"/>
      <c r="R7" s="273">
        <v>1</v>
      </c>
      <c r="S7" s="1331" t="e">
        <f>$K7</f>
        <v>#N/A</v>
      </c>
      <c r="T7" s="1313"/>
      <c r="U7" s="217"/>
      <c r="V7" s="649"/>
      <c r="W7" s="649"/>
      <c r="X7" s="1139"/>
      <c r="Y7" s="16127"/>
      <c r="Z7" s="15973" t="s">
        <v>66</v>
      </c>
      <c r="AA7" s="16127"/>
      <c r="AB7" s="15973" t="s">
        <v>66</v>
      </c>
      <c r="AC7" s="649"/>
      <c r="AD7" s="649"/>
      <c r="AE7" s="1139"/>
      <c r="AF7" s="16127"/>
      <c r="AG7" s="15973" t="s">
        <v>66</v>
      </c>
      <c r="AH7" s="16146"/>
      <c r="AI7" s="15973" t="s">
        <v>66</v>
      </c>
      <c r="AJ7" s="1314"/>
      <c r="AK7"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16125"/>
      <c r="F8" s="16125"/>
      <c r="G8" s="16125"/>
      <c r="H8" s="16125"/>
      <c r="I8" s="16145"/>
      <c r="J8" s="16145"/>
      <c r="K8" s="16122"/>
      <c r="L8" s="1241"/>
      <c r="P8" s="16123"/>
      <c r="Q8" s="16123"/>
      <c r="R8" s="273"/>
      <c r="S8" s="1330"/>
      <c r="T8" s="217"/>
      <c r="U8" s="217"/>
      <c r="V8" s="242"/>
      <c r="W8" s="242"/>
      <c r="X8" s="245" t="str">
        <f>Y7&amp;"-"&amp;AA7</f>
        <v>-</v>
      </c>
      <c r="Y8" s="16128"/>
      <c r="Z8" s="15973"/>
      <c r="AA8" s="16128"/>
      <c r="AB8" s="15973"/>
      <c r="AC8" s="242"/>
      <c r="AD8" s="242"/>
      <c r="AE8" s="245" t="str">
        <f>AF7&amp;"-"&amp;AH7</f>
        <v>-</v>
      </c>
      <c r="AF8" s="16128"/>
      <c r="AG8" s="15973"/>
      <c r="AH8" s="16147"/>
      <c r="AI8" s="15973"/>
      <c r="AJ8" s="1315"/>
      <c r="AK8" s="16182"/>
      <c r="AM8" s="407"/>
      <c r="AN8" s="407" t="str">
        <f t="shared" si="0"/>
        <v/>
      </c>
      <c r="AO8" s="407"/>
      <c r="AP8" s="407"/>
    </row>
    <row r="9" spans="1:42" ht="21" hidden="1" customHeight="1">
      <c r="A9" s="1240"/>
      <c r="B9" s="1240"/>
      <c r="C9" s="1240"/>
      <c r="D9" s="1240"/>
      <c r="E9" s="16125"/>
      <c r="F9" s="16125"/>
      <c r="G9" s="16125"/>
      <c r="H9" s="16125"/>
      <c r="I9" s="16145"/>
      <c r="J9" s="16122"/>
      <c r="K9" s="1240"/>
      <c r="L9" s="1241"/>
      <c r="P9" s="16123"/>
      <c r="Q9" s="16123"/>
      <c r="R9" s="272"/>
      <c r="S9" s="1160"/>
      <c r="T9" s="204" t="s">
        <v>621</v>
      </c>
      <c r="U9" s="282"/>
      <c r="V9" s="282"/>
      <c r="W9" s="282"/>
      <c r="X9" s="282"/>
      <c r="Y9" s="282"/>
      <c r="Z9" s="282"/>
      <c r="AA9" s="282"/>
      <c r="AB9" s="282"/>
      <c r="AC9" s="282"/>
      <c r="AD9" s="282"/>
      <c r="AE9" s="282"/>
      <c r="AF9" s="282"/>
      <c r="AG9" s="282"/>
      <c r="AH9" s="282"/>
      <c r="AI9" s="282"/>
      <c r="AJ9" s="282"/>
      <c r="AK9" s="1140" t="s">
        <v>622</v>
      </c>
      <c r="AM9" s="407"/>
      <c r="AN9" s="407" t="str">
        <f t="shared" si="0"/>
        <v>Добавить значение признака дифференциации</v>
      </c>
      <c r="AO9" s="407"/>
      <c r="AP9" s="407"/>
    </row>
    <row r="10" spans="1:42" ht="21" hidden="1" customHeight="1">
      <c r="A10" s="1240"/>
      <c r="B10" s="1240"/>
      <c r="C10" s="1240"/>
      <c r="D10" s="1240"/>
      <c r="E10" s="16125"/>
      <c r="F10" s="16125"/>
      <c r="G10" s="16125"/>
      <c r="H10" s="16125"/>
      <c r="I10" s="16122"/>
      <c r="J10" s="1240"/>
      <c r="K10" s="1240"/>
      <c r="L10" s="1241"/>
      <c r="P10" s="16123"/>
      <c r="Q10" s="1324"/>
      <c r="R10" s="272"/>
      <c r="S10" s="1160"/>
      <c r="T10" s="280" t="s">
        <v>549</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16125"/>
      <c r="F11" s="16125"/>
      <c r="G11" s="16125"/>
      <c r="H11" s="16124"/>
      <c r="I11" s="1240"/>
      <c r="J11" s="1240"/>
      <c r="K11" s="1240"/>
      <c r="L11" s="1241"/>
      <c r="M11" s="1242"/>
      <c r="N11" s="1242"/>
      <c r="O11" s="443"/>
      <c r="P11" s="276"/>
      <c r="Q11" s="290"/>
      <c r="R11" s="271"/>
      <c r="S11" s="1160"/>
      <c r="T11" s="287" t="s">
        <v>623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4418" customFormat="1" ht="14.25" hidden="1" customHeight="1">
      <c r="A12" s="1221"/>
      <c r="B12" s="1221"/>
      <c r="C12" s="1193"/>
      <c r="D12" s="1193"/>
      <c r="E12" s="16125"/>
      <c r="F12" s="16124"/>
      <c r="G12" s="1193"/>
      <c r="H12" s="1193"/>
      <c r="I12" s="1193"/>
      <c r="J12" s="1193"/>
      <c r="K12" s="1193"/>
      <c r="L12" s="1332"/>
      <c r="M12" s="1200"/>
      <c r="N12" s="1200"/>
      <c r="P12" s="1195"/>
      <c r="Q12" s="1196"/>
      <c r="R12" s="1195"/>
      <c r="S12" s="1201"/>
      <c r="T12" s="1204" t="s">
        <v>290</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4421" customFormat="1" ht="14.25" hidden="1" customHeight="1">
      <c r="A13" s="1221"/>
      <c r="B13" s="1221"/>
      <c r="C13" s="1221"/>
      <c r="D13" s="1221"/>
      <c r="E13" s="16124"/>
      <c r="F13" s="1221"/>
      <c r="G13" s="1221"/>
      <c r="H13" s="1221"/>
      <c r="I13" s="1221"/>
      <c r="J13" s="1221"/>
      <c r="K13" s="1221"/>
      <c r="L13" s="1224"/>
      <c r="M13" s="1200"/>
      <c r="N13" s="1200"/>
      <c r="O13" s="425"/>
      <c r="P13" s="295"/>
      <c r="Q13" s="1222"/>
      <c r="R13" s="295"/>
      <c r="S13" s="1201"/>
      <c r="T13" s="1204" t="s">
        <v>326</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16129"/>
      <c r="AG15" s="16130" t="s">
        <v>66</v>
      </c>
      <c r="AH15" s="16129"/>
      <c r="AI15" s="16130" t="s">
        <v>66</v>
      </c>
    </row>
    <row r="16" spans="1:42" ht="14.25" hidden="1" customHeight="1">
      <c r="AC16" s="1237"/>
      <c r="AD16" s="1237"/>
      <c r="AE16" s="245" t="str">
        <f>AF15&amp;"-"&amp;AH15</f>
        <v>-</v>
      </c>
      <c r="AF16" s="16130"/>
      <c r="AG16" s="16130"/>
      <c r="AH16" s="16130"/>
      <c r="AI16" s="16130"/>
    </row>
    <row r="17" spans="1:42" ht="14.25" hidden="1" customHeight="1">
      <c r="AI17" s="244"/>
    </row>
    <row r="18" spans="1:42" s="14419" customFormat="1" ht="22.5" hidden="1" customHeight="1">
      <c r="L18" s="1321"/>
      <c r="M18" s="1239"/>
      <c r="N18" s="1239"/>
      <c r="O18" s="1244" t="s">
        <v>552</v>
      </c>
      <c r="P18" s="1239"/>
      <c r="Q18" s="1248"/>
      <c r="R18" s="1248"/>
      <c r="S18" s="629"/>
      <c r="Y18" s="1244"/>
      <c r="AA18" s="1244"/>
      <c r="AB18" s="1243"/>
      <c r="AF18" s="1244"/>
      <c r="AH18" s="1244"/>
      <c r="AI18" s="1243"/>
      <c r="AL18" s="418"/>
      <c r="AM18" s="418"/>
      <c r="AN18" s="418"/>
      <c r="AO18" s="418"/>
      <c r="AP18" s="418"/>
    </row>
    <row r="19" spans="1:42" s="14419" customFormat="1" ht="14.25" hidden="1" customHeight="1">
      <c r="L19" s="1321"/>
      <c r="M19" s="1239"/>
      <c r="N19" s="1239"/>
      <c r="O19" s="1239"/>
      <c r="P19" s="1239"/>
      <c r="Q19" s="1248"/>
      <c r="R19" s="1248"/>
      <c r="S19" s="629"/>
      <c r="AB19" s="1243"/>
      <c r="AI19" s="1243"/>
      <c r="AL19" s="418"/>
      <c r="AM19" s="418"/>
      <c r="AN19" s="418"/>
      <c r="AO19" s="418"/>
      <c r="AP19" s="418"/>
    </row>
    <row r="20" spans="1:42" s="14419" customFormat="1" ht="12" hidden="1" customHeight="1">
      <c r="L20" s="1321"/>
      <c r="M20" s="1239"/>
      <c r="N20" s="1239"/>
      <c r="O20" s="1241" t="s">
        <v>553</v>
      </c>
      <c r="P20" s="1239"/>
      <c r="Q20" s="1317"/>
      <c r="R20" s="1317"/>
      <c r="S20" s="629"/>
      <c r="T20" s="1041" t="s">
        <v>554</v>
      </c>
      <c r="Z20" s="108" t="s">
        <v>555</v>
      </c>
      <c r="AB20" s="108" t="s">
        <v>556</v>
      </c>
      <c r="AC20" s="1041" t="s">
        <v>554</v>
      </c>
      <c r="AG20" s="108" t="s">
        <v>557</v>
      </c>
      <c r="AI20" s="108" t="s">
        <v>556</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1610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6108"/>
      <c r="U24" s="16108"/>
      <c r="V24" s="16108"/>
      <c r="W24" s="16108"/>
      <c r="X24" s="16108"/>
      <c r="Y24" s="16108"/>
      <c r="Z24" s="16108"/>
      <c r="AA24" s="16108"/>
      <c r="AB24" s="16108"/>
      <c r="AC24" s="16108"/>
      <c r="AD24" s="16108"/>
      <c r="AE24" s="16108"/>
      <c r="AF24" s="16108"/>
      <c r="AG24" s="16108"/>
      <c r="AH24" s="16108"/>
      <c r="AI24" s="1125"/>
    </row>
    <row r="25" spans="1:42" ht="14.25" customHeight="1">
      <c r="Q25" s="291"/>
      <c r="R25" s="291"/>
      <c r="S25" s="16056" t="str">
        <f>IF(org=0,"Не определено",org)</f>
        <v>АО "Мурманэнергосбыт"</v>
      </c>
      <c r="T25" s="16056"/>
      <c r="U25" s="16056"/>
      <c r="V25" s="16056"/>
      <c r="W25" s="16056"/>
      <c r="X25" s="16056"/>
      <c r="Y25" s="16056"/>
      <c r="Z25" s="16056"/>
      <c r="AA25" s="16056"/>
      <c r="AB25" s="16056"/>
      <c r="AC25" s="16056"/>
      <c r="AD25" s="16056"/>
      <c r="AE25" s="16056"/>
      <c r="AF25" s="16056"/>
      <c r="AG25" s="16056"/>
      <c r="AH25" s="16056"/>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4420" customFormat="1" ht="25.5" customHeight="1">
      <c r="A27" s="1245"/>
      <c r="B27" s="1245"/>
      <c r="C27" s="1245"/>
      <c r="D27" s="1245"/>
      <c r="E27" s="1245"/>
      <c r="F27" s="1245"/>
      <c r="G27" s="1245"/>
      <c r="H27" s="1245"/>
      <c r="I27" s="1245"/>
      <c r="J27" s="1245"/>
      <c r="K27" s="1245"/>
      <c r="L27" s="1246"/>
      <c r="M27" s="1245"/>
      <c r="N27" s="1245"/>
      <c r="O27" s="1245"/>
      <c r="S27" s="16116" t="s">
        <v>38</v>
      </c>
      <c r="T27" s="16116"/>
      <c r="U27" s="1249"/>
      <c r="V27" s="16117" t="str">
        <f>IF(TITLE_NAME_OR_PR_CHANGE="",IF(TITLE_NAME_OR_PR="","",TITLE_NAME_OR_PR),TITLE_NAME_OR_PR_CHANGE)</f>
        <v>Комитет по тарифному регулированию Мурманской области</v>
      </c>
      <c r="W27" s="16117"/>
      <c r="X27" s="16117"/>
      <c r="Y27" s="16117"/>
      <c r="Z27" s="16117"/>
      <c r="AA27" s="16117"/>
      <c r="AB27" s="243"/>
      <c r="AC27" s="16117" t="str">
        <f>IF(TITLE_NAME_OR_PR_CHANGE="",IF(TITLE_NAME_OR_PR="","",TITLE_NAME_OR_PR),TITLE_NAME_OR_PR_CHANGE)</f>
        <v>Комитет по тарифному регулированию Мурманской области</v>
      </c>
      <c r="AD27" s="16117"/>
      <c r="AE27" s="16117"/>
      <c r="AF27" s="16117"/>
      <c r="AG27" s="16117"/>
      <c r="AH27" s="16117"/>
      <c r="AI27" s="243"/>
      <c r="AJ27" s="243"/>
      <c r="AK27" s="198"/>
      <c r="AL27" s="283"/>
      <c r="AM27" s="283"/>
      <c r="AN27" s="283"/>
      <c r="AO27" s="283"/>
      <c r="AP27" s="283"/>
    </row>
    <row r="28" spans="1:42" s="14420" customFormat="1" ht="18.75" customHeight="1">
      <c r="A28" s="1245"/>
      <c r="B28" s="1245"/>
      <c r="C28" s="1245"/>
      <c r="D28" s="1245"/>
      <c r="E28" s="1245"/>
      <c r="F28" s="1245"/>
      <c r="G28" s="1245"/>
      <c r="H28" s="1245"/>
      <c r="I28" s="1245"/>
      <c r="J28" s="1245"/>
      <c r="K28" s="1245"/>
      <c r="L28" s="1246"/>
      <c r="M28" s="1245"/>
      <c r="N28" s="1245"/>
      <c r="O28" s="1245"/>
      <c r="S28" s="16116" t="s">
        <v>558</v>
      </c>
      <c r="T28" s="16116"/>
      <c r="U28" s="1249"/>
      <c r="V28" s="16126">
        <f>IF(TITLE_DATE_PR_CHANGE="",IF(TITLE_DATE_PR="","",TITLE_DATE_PR),TITLE_DATE_PR_CHANGE)</f>
        <v>45379</v>
      </c>
      <c r="W28" s="16126"/>
      <c r="X28" s="16126"/>
      <c r="Y28" s="16126"/>
      <c r="Z28" s="16126"/>
      <c r="AA28" s="16126"/>
      <c r="AB28" s="243"/>
      <c r="AC28" s="16126">
        <f>IF(TITLE_DATE_PR_CHANGE="",IF(TITLE_DATE_PR="","",TITLE_DATE_PR),TITLE_DATE_PR_CHANGE)</f>
        <v>45379</v>
      </c>
      <c r="AD28" s="16126"/>
      <c r="AE28" s="16126"/>
      <c r="AF28" s="16126"/>
      <c r="AG28" s="16126"/>
      <c r="AH28" s="16126"/>
      <c r="AI28" s="243"/>
      <c r="AJ28" s="243"/>
      <c r="AK28" s="198"/>
      <c r="AL28" s="283"/>
      <c r="AM28" s="283"/>
      <c r="AN28" s="283"/>
      <c r="AO28" s="283"/>
      <c r="AP28" s="283"/>
    </row>
    <row r="29" spans="1:42" s="14420" customFormat="1" ht="18.75" customHeight="1">
      <c r="A29" s="1245"/>
      <c r="B29" s="1245"/>
      <c r="C29" s="1245"/>
      <c r="D29" s="1245"/>
      <c r="E29" s="1245"/>
      <c r="F29" s="1245"/>
      <c r="G29" s="1245"/>
      <c r="H29" s="1245"/>
      <c r="I29" s="1245"/>
      <c r="J29" s="1245"/>
      <c r="K29" s="1245"/>
      <c r="L29" s="1246"/>
      <c r="M29" s="1245"/>
      <c r="N29" s="1245"/>
      <c r="O29" s="1245"/>
      <c r="S29" s="16116" t="s">
        <v>559</v>
      </c>
      <c r="T29" s="16116"/>
      <c r="U29" s="1249"/>
      <c r="V29" s="16117" t="str">
        <f>IF(TITLE_NUMBER_PR_CHANGE="",IF(TITLE_NUMBER_PR="","",TITLE_NUMBER_PR),TITLE_NUMBER_PR_CHANGE)</f>
        <v>8/6</v>
      </c>
      <c r="W29" s="16117"/>
      <c r="X29" s="16117"/>
      <c r="Y29" s="16117"/>
      <c r="Z29" s="16117"/>
      <c r="AA29" s="16117"/>
      <c r="AB29" s="243"/>
      <c r="AC29" s="16117" t="str">
        <f>IF(TITLE_NUMBER_PR_CHANGE="",IF(TITLE_NUMBER_PR="","",TITLE_NUMBER_PR),TITLE_NUMBER_PR_CHANGE)</f>
        <v>8/6</v>
      </c>
      <c r="AD29" s="16117"/>
      <c r="AE29" s="16117"/>
      <c r="AF29" s="16117"/>
      <c r="AG29" s="16117"/>
      <c r="AH29" s="16117"/>
      <c r="AI29" s="243"/>
      <c r="AJ29" s="243"/>
      <c r="AK29" s="198"/>
      <c r="AL29" s="283"/>
      <c r="AM29" s="283"/>
      <c r="AN29" s="283"/>
      <c r="AO29" s="283"/>
      <c r="AP29" s="283"/>
    </row>
    <row r="30" spans="1:42" s="14420" customFormat="1" ht="18.75" customHeight="1">
      <c r="A30" s="1245"/>
      <c r="B30" s="1245"/>
      <c r="C30" s="1245"/>
      <c r="D30" s="1245"/>
      <c r="E30" s="1245"/>
      <c r="F30" s="1245"/>
      <c r="G30" s="1245"/>
      <c r="H30" s="1245"/>
      <c r="I30" s="1245"/>
      <c r="J30" s="1245"/>
      <c r="K30" s="1245"/>
      <c r="L30" s="1246"/>
      <c r="M30" s="1245"/>
      <c r="N30" s="1245"/>
      <c r="O30" s="1245"/>
      <c r="S30" s="16116" t="s">
        <v>40</v>
      </c>
      <c r="T30" s="16116"/>
      <c r="U30" s="1249"/>
      <c r="V30" s="16117" t="str">
        <f>IF(TITLE_IST_PUB_CHANGE="",IF(TITLE_IST_PUB="","",TITLE_IST_PUB),TITLE_IST_PUB_CHANGE)</f>
        <v>https://npa.gov-murman.ru/bitrix/components/b1team/govmurman.element.file/download.php?ID=518761&amp;FID=765125</v>
      </c>
      <c r="W30" s="16117"/>
      <c r="X30" s="16117"/>
      <c r="Y30" s="16117"/>
      <c r="Z30" s="16117"/>
      <c r="AA30" s="16117"/>
      <c r="AB30" s="243"/>
      <c r="AC30" s="16117" t="str">
        <f>IF(TITLE_IST_PUB_CHANGE="",IF(TITLE_IST_PUB="","",TITLE_IST_PUB),TITLE_IST_PUB_CHANGE)</f>
        <v>https://npa.gov-murman.ru/bitrix/components/b1team/govmurman.element.file/download.php?ID=518761&amp;FID=765125</v>
      </c>
      <c r="AD30" s="16117"/>
      <c r="AE30" s="16117"/>
      <c r="AF30" s="16117"/>
      <c r="AG30" s="16117"/>
      <c r="AH30" s="16117"/>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4420" customFormat="1" ht="18.75" hidden="1" customHeight="1">
      <c r="A32" s="1245"/>
      <c r="B32" s="1245"/>
      <c r="C32" s="1245"/>
      <c r="D32" s="1245"/>
      <c r="E32" s="1245"/>
      <c r="F32" s="1245"/>
      <c r="G32" s="1245"/>
      <c r="H32" s="1245"/>
      <c r="I32" s="1245"/>
      <c r="J32" s="1245"/>
      <c r="K32" s="1245"/>
      <c r="L32" s="1246"/>
      <c r="M32" s="1245"/>
      <c r="N32" s="1245"/>
      <c r="O32" s="1245"/>
      <c r="S32" s="16116" t="s">
        <v>560</v>
      </c>
      <c r="T32" s="16116"/>
      <c r="U32" s="1249"/>
      <c r="V32" s="16126">
        <f>IF(TITLE_DATE_PR_CHANGE="",IF(TITLE_DATE_PR="","",TITLE_DATE_PR),TITLE_DATE_PR_CHANGE)</f>
        <v>45379</v>
      </c>
      <c r="W32" s="16126"/>
      <c r="X32" s="16126"/>
      <c r="Y32" s="16126"/>
      <c r="Z32" s="16126"/>
      <c r="AA32" s="16126"/>
      <c r="AB32" s="243"/>
      <c r="AC32" s="16126">
        <f>IF(TITLE_DATE_PR_CHANGE="",IF(TITLE_DATE_PR="","",TITLE_DATE_PR),TITLE_DATE_PR_CHANGE)</f>
        <v>45379</v>
      </c>
      <c r="AD32" s="16126"/>
      <c r="AE32" s="16126"/>
      <c r="AF32" s="16126"/>
      <c r="AG32" s="16126"/>
      <c r="AH32" s="16126"/>
      <c r="AI32" s="243"/>
      <c r="AJ32" s="243"/>
      <c r="AK32" s="198"/>
      <c r="AL32" s="283"/>
      <c r="AM32" s="283"/>
      <c r="AN32" s="283"/>
      <c r="AO32" s="283"/>
      <c r="AP32" s="283"/>
    </row>
    <row r="33" spans="1:42" s="14420" customFormat="1" ht="18.75" hidden="1" customHeight="1">
      <c r="A33" s="1245"/>
      <c r="B33" s="1245"/>
      <c r="C33" s="1245"/>
      <c r="D33" s="1245"/>
      <c r="E33" s="1245"/>
      <c r="F33" s="1245"/>
      <c r="G33" s="1245"/>
      <c r="H33" s="1245"/>
      <c r="I33" s="1245"/>
      <c r="J33" s="1245"/>
      <c r="K33" s="1245"/>
      <c r="L33" s="1246"/>
      <c r="M33" s="1245"/>
      <c r="N33" s="1245"/>
      <c r="O33" s="1245"/>
      <c r="S33" s="16116" t="s">
        <v>561</v>
      </c>
      <c r="T33" s="16116"/>
      <c r="U33" s="1249"/>
      <c r="V33" s="16117" t="str">
        <f>IF(TITLE_NUMBER_PR_CHANGE="",IF(TITLE_NUMBER_PR="","",TITLE_NUMBER_PR),TITLE_NUMBER_PR_CHANGE)</f>
        <v>8/6</v>
      </c>
      <c r="W33" s="16117"/>
      <c r="X33" s="16117"/>
      <c r="Y33" s="16117"/>
      <c r="Z33" s="16117"/>
      <c r="AA33" s="16117"/>
      <c r="AB33" s="243"/>
      <c r="AC33" s="16117" t="str">
        <f>IF(TITLE_NUMBER_PR_CHANGE="",IF(TITLE_NUMBER_PR="","",TITLE_NUMBER_PR),TITLE_NUMBER_PR_CHANGE)</f>
        <v>8/6</v>
      </c>
      <c r="AD33" s="16117"/>
      <c r="AE33" s="16117"/>
      <c r="AF33" s="16117"/>
      <c r="AG33" s="16117"/>
      <c r="AH33" s="16117"/>
      <c r="AI33" s="243"/>
      <c r="AJ33" s="243"/>
      <c r="AK33" s="198"/>
      <c r="AL33" s="283"/>
      <c r="AM33" s="283"/>
      <c r="AN33" s="283"/>
      <c r="AO33" s="283"/>
      <c r="AP33" s="283"/>
    </row>
    <row r="34" spans="1:42" s="14420" customFormat="1" ht="0.75" customHeight="1">
      <c r="A34" s="1245"/>
      <c r="B34" s="1245"/>
      <c r="C34" s="1245"/>
      <c r="D34" s="1245"/>
      <c r="E34" s="1245"/>
      <c r="F34" s="1245"/>
      <c r="G34" s="1245"/>
      <c r="H34" s="1245"/>
      <c r="I34" s="1245"/>
      <c r="J34" s="1245"/>
      <c r="K34" s="1245"/>
      <c r="L34" s="1246"/>
      <c r="M34" s="1245"/>
      <c r="N34" s="1245"/>
      <c r="O34" s="1245"/>
      <c r="S34" s="240"/>
      <c r="T34" s="240"/>
      <c r="U34" s="1328"/>
      <c r="V34" s="243"/>
      <c r="W34" s="243"/>
      <c r="X34" s="243"/>
      <c r="Y34" s="243"/>
      <c r="Z34" s="243"/>
      <c r="AA34" s="243"/>
      <c r="AB34" s="196" t="s">
        <v>562</v>
      </c>
      <c r="AC34" s="243"/>
      <c r="AD34" s="243"/>
      <c r="AE34" s="243"/>
      <c r="AF34" s="243"/>
      <c r="AG34" s="243"/>
      <c r="AH34" s="243"/>
      <c r="AI34" s="196" t="s">
        <v>562</v>
      </c>
      <c r="AL34" s="283"/>
      <c r="AM34" s="283"/>
      <c r="AN34" s="283"/>
      <c r="AO34" s="283"/>
      <c r="AP34" s="283"/>
    </row>
    <row r="35" spans="1:42" ht="14.25" customHeight="1">
      <c r="Q35" s="291"/>
      <c r="R35" s="291"/>
      <c r="S35" s="1157"/>
      <c r="T35" s="279"/>
      <c r="U35" s="1126"/>
      <c r="V35" s="16118"/>
      <c r="W35" s="16118"/>
      <c r="X35" s="16118"/>
      <c r="Y35" s="16118"/>
      <c r="Z35" s="16118"/>
      <c r="AA35" s="16118"/>
      <c r="AB35" s="16118"/>
      <c r="AC35" s="16118"/>
      <c r="AD35" s="16118"/>
      <c r="AE35" s="16118"/>
      <c r="AF35" s="16118"/>
      <c r="AG35" s="16118"/>
      <c r="AH35" s="16118"/>
      <c r="AI35" s="16118"/>
    </row>
    <row r="36" spans="1:42" ht="14.25" customHeight="1">
      <c r="Q36" s="291"/>
      <c r="R36" s="291"/>
      <c r="S36" s="15992" t="s">
        <v>437</v>
      </c>
      <c r="T36" s="15992"/>
      <c r="U36" s="15992"/>
      <c r="V36" s="15992"/>
      <c r="W36" s="15992"/>
      <c r="X36" s="15992"/>
      <c r="Y36" s="15992"/>
      <c r="Z36" s="15992"/>
      <c r="AA36" s="15992"/>
      <c r="AB36" s="15992"/>
      <c r="AC36" s="15992"/>
      <c r="AD36" s="15992"/>
      <c r="AE36" s="15992"/>
      <c r="AF36" s="15992"/>
      <c r="AG36" s="15992"/>
      <c r="AH36" s="15992"/>
      <c r="AI36" s="15992"/>
      <c r="AJ36" s="15992"/>
      <c r="AK36" s="15992" t="s">
        <v>438</v>
      </c>
    </row>
    <row r="37" spans="1:42" ht="14.25" customHeight="1">
      <c r="Q37" s="291"/>
      <c r="R37" s="291"/>
      <c r="S37" s="16132" t="s">
        <v>87</v>
      </c>
      <c r="T37" s="16084" t="s">
        <v>563</v>
      </c>
      <c r="U37" s="218"/>
      <c r="V37" s="16133" t="s">
        <v>564</v>
      </c>
      <c r="W37" s="16134"/>
      <c r="X37" s="16134"/>
      <c r="Y37" s="16134"/>
      <c r="Z37" s="16134"/>
      <c r="AA37" s="16135"/>
      <c r="AB37" s="16136" t="s">
        <v>565</v>
      </c>
      <c r="AC37" s="16133" t="s">
        <v>564</v>
      </c>
      <c r="AD37" s="16134"/>
      <c r="AE37" s="16134"/>
      <c r="AF37" s="16134"/>
      <c r="AG37" s="16134"/>
      <c r="AH37" s="16135"/>
      <c r="AI37" s="16136" t="s">
        <v>566</v>
      </c>
      <c r="AJ37" s="16139" t="s">
        <v>567</v>
      </c>
      <c r="AK37" s="15992"/>
    </row>
    <row r="38" spans="1:42" ht="33.75" customHeight="1">
      <c r="Q38" s="291"/>
      <c r="R38" s="291"/>
      <c r="S38" s="16132"/>
      <c r="T38" s="16084"/>
      <c r="U38" s="919"/>
      <c r="V38" s="1326" t="s">
        <v>624</v>
      </c>
      <c r="W38" s="15963" t="s">
        <v>570</v>
      </c>
      <c r="X38" s="15962"/>
      <c r="Y38" s="15963" t="s">
        <v>571</v>
      </c>
      <c r="Z38" s="15968"/>
      <c r="AA38" s="15962"/>
      <c r="AB38" s="16137"/>
      <c r="AC38" s="1326" t="s">
        <v>624</v>
      </c>
      <c r="AD38" s="15963" t="s">
        <v>570</v>
      </c>
      <c r="AE38" s="15962"/>
      <c r="AF38" s="15963" t="s">
        <v>571</v>
      </c>
      <c r="AG38" s="15968"/>
      <c r="AH38" s="15962"/>
      <c r="AI38" s="16137"/>
      <c r="AJ38" s="16140"/>
      <c r="AK38" s="15992"/>
    </row>
    <row r="39" spans="1:42" ht="33.75" customHeight="1">
      <c r="A39" s="1247"/>
      <c r="B39" s="1247" t="s">
        <v>170</v>
      </c>
      <c r="C39" s="1247" t="s">
        <v>171</v>
      </c>
      <c r="D39" s="1247" t="s">
        <v>172</v>
      </c>
      <c r="E39" s="1241" t="s">
        <v>572</v>
      </c>
      <c r="F39" s="1241" t="s">
        <v>573</v>
      </c>
      <c r="G39" s="1241" t="s">
        <v>574</v>
      </c>
      <c r="H39" s="1241"/>
      <c r="I39" s="1241" t="s">
        <v>625</v>
      </c>
      <c r="J39" s="1241" t="s">
        <v>577</v>
      </c>
      <c r="K39" s="1241" t="s">
        <v>626</v>
      </c>
      <c r="L39" s="1241" t="s">
        <v>553</v>
      </c>
      <c r="Q39" s="291"/>
      <c r="R39" s="291"/>
      <c r="S39" s="16132"/>
      <c r="T39" s="16084"/>
      <c r="U39" s="219"/>
      <c r="V39" s="1326" t="s">
        <v>627</v>
      </c>
      <c r="W39" s="1104" t="s">
        <v>628</v>
      </c>
      <c r="X39" s="1104" t="s">
        <v>629</v>
      </c>
      <c r="Y39" s="1329" t="s">
        <v>581</v>
      </c>
      <c r="Z39" s="16092" t="s">
        <v>582</v>
      </c>
      <c r="AA39" s="16094"/>
      <c r="AB39" s="16138"/>
      <c r="AC39" s="1326" t="s">
        <v>627</v>
      </c>
      <c r="AD39" s="1104" t="s">
        <v>628</v>
      </c>
      <c r="AE39" s="1104" t="s">
        <v>629</v>
      </c>
      <c r="AF39" s="1329" t="s">
        <v>581</v>
      </c>
      <c r="AG39" s="16092" t="s">
        <v>582</v>
      </c>
      <c r="AH39" s="16094"/>
      <c r="AI39" s="16138"/>
      <c r="AJ39" s="16141"/>
      <c r="AK39" s="15992"/>
    </row>
    <row r="40" spans="1:42" s="14405"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147</v>
      </c>
      <c r="T40" s="1137" t="s">
        <v>102</v>
      </c>
      <c r="U40" s="1127" t="str">
        <f ca="1">OFFSET(U40,0,-1)</f>
        <v>2</v>
      </c>
      <c r="V40" s="1325">
        <f ca="1">OFFSET(V40,0,-1)+1</f>
        <v>3</v>
      </c>
      <c r="W40" s="1325">
        <f ca="1">OFFSET(W40,0,-1)+1</f>
        <v>4</v>
      </c>
      <c r="X40" s="1325">
        <f ca="1">OFFSET(X40,0,-1)+1</f>
        <v>5</v>
      </c>
      <c r="Y40" s="1325">
        <f ca="1">OFFSET(Y40,0,-1)+1</f>
        <v>6</v>
      </c>
      <c r="Z40" s="16131">
        <f ca="1">OFFSET(Z40,0,-1)+1</f>
        <v>7</v>
      </c>
      <c r="AA40" s="16131"/>
      <c r="AB40" s="1325">
        <f ca="1">OFFSET(AB40,0,-2)+1</f>
        <v>8</v>
      </c>
      <c r="AC40" s="1325">
        <f ca="1">OFFSET(AC40,0,-1)+1</f>
        <v>9</v>
      </c>
      <c r="AD40" s="1325">
        <f ca="1">OFFSET(AD40,0,-1)+1</f>
        <v>10</v>
      </c>
      <c r="AE40" s="1325">
        <f ca="1">OFFSET(AE40,0,-1)+1</f>
        <v>11</v>
      </c>
      <c r="AF40" s="1325">
        <f ca="1">OFFSET(AF40,0,-1)+1</f>
        <v>12</v>
      </c>
      <c r="AG40" s="16131">
        <f ca="1">OFFSET(AG40,0,-1)+1</f>
        <v>13</v>
      </c>
      <c r="AH40" s="16131"/>
      <c r="AI40" s="1325">
        <f ca="1">OFFSET(AI40,0,-2)+1</f>
        <v>14</v>
      </c>
      <c r="AJ40" s="1127">
        <f ca="1">OFFSET(AJ40,0,-1)</f>
        <v>14</v>
      </c>
      <c r="AK40" s="1325">
        <f ca="1">OFFSET(AK40,0,-1)+1</f>
        <v>15</v>
      </c>
      <c r="AL40" s="418"/>
      <c r="AM40" s="418"/>
      <c r="AN40" s="418"/>
      <c r="AO40" s="418"/>
      <c r="AP40" s="418"/>
    </row>
    <row r="41" spans="1:42" ht="23.25" customHeight="1">
      <c r="A41" s="1240" t="s">
        <v>260</v>
      </c>
      <c r="B41" s="1240"/>
      <c r="C41" s="1240"/>
      <c r="D41" s="1240"/>
      <c r="E41" s="16124">
        <v>1</v>
      </c>
      <c r="F41" s="1240"/>
      <c r="G41" s="1240"/>
      <c r="H41" s="1240"/>
      <c r="I41" s="1240"/>
      <c r="J41" s="1240"/>
      <c r="K41" s="1240"/>
      <c r="L41" s="1241"/>
      <c r="M41" s="1242"/>
      <c r="N41" s="1242"/>
      <c r="O41" s="1242"/>
      <c r="P41" s="277"/>
      <c r="Q41" s="276"/>
      <c r="R41" s="271"/>
      <c r="S41" s="1331">
        <f>INDEX(PT_DIFFERENTIATION_NUM_NTAR,MATCH(A41,PT_DIFFERENTIATION_NTAR_ID,0))</f>
        <v>0</v>
      </c>
      <c r="T41" s="215" t="s">
        <v>158</v>
      </c>
      <c r="U41" s="217"/>
      <c r="V41" s="16110"/>
      <c r="W41" s="16111"/>
      <c r="X41" s="16111"/>
      <c r="Y41" s="16111"/>
      <c r="Z41" s="16111"/>
      <c r="AA41" s="16111"/>
      <c r="AB41" s="16112"/>
      <c r="AC41" s="16110" t="str">
        <f>INDEX(PT_DIFFERENTIATION_NTAR,MATCH(A41,PT_DIFFERENTIATION_NTAR_ID,0))</f>
        <v/>
      </c>
      <c r="AD41" s="16111"/>
      <c r="AE41" s="16111"/>
      <c r="AF41" s="16111"/>
      <c r="AG41" s="16111"/>
      <c r="AH41" s="16111"/>
      <c r="AI41" s="16111"/>
      <c r="AJ41" s="16112"/>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260</v>
      </c>
      <c r="B42" s="1240" t="s">
        <v>261</v>
      </c>
      <c r="C42" s="1240"/>
      <c r="D42" s="1240"/>
      <c r="E42" s="16125"/>
      <c r="F42" s="16124">
        <v>1</v>
      </c>
      <c r="G42" s="1240"/>
      <c r="H42" s="1240"/>
      <c r="I42" s="1240"/>
      <c r="J42" s="1240"/>
      <c r="K42" s="1240"/>
      <c r="L42" s="1241"/>
      <c r="M42" s="1242"/>
      <c r="N42" s="1242"/>
      <c r="O42" s="1242"/>
      <c r="P42" s="1327"/>
      <c r="Q42" s="268"/>
      <c r="R42" s="269"/>
      <c r="S42" s="1331" t="str">
        <f>INDEX(PT_DIFFERENTIATION_NUM_TER,MATCH(B42,PT_DIFFERENTIATION_TER_ID,0))</f>
        <v>.</v>
      </c>
      <c r="T42" s="225" t="s">
        <v>534</v>
      </c>
      <c r="U42" s="217"/>
      <c r="V42" s="16110"/>
      <c r="W42" s="16111"/>
      <c r="X42" s="16111"/>
      <c r="Y42" s="16111"/>
      <c r="Z42" s="16111"/>
      <c r="AA42" s="16111"/>
      <c r="AB42" s="16112"/>
      <c r="AC42" s="16110" t="str">
        <f>INDEX(PT_DIFFERENTIATION_TER,MATCH(B42,PT_DIFFERENTIATION_TER_ID,0))</f>
        <v/>
      </c>
      <c r="AD42" s="16111"/>
      <c r="AE42" s="16111"/>
      <c r="AF42" s="16111"/>
      <c r="AG42" s="16111"/>
      <c r="AH42" s="16111"/>
      <c r="AI42" s="16111"/>
      <c r="AJ42" s="16112"/>
      <c r="AK42" s="1140" t="s">
        <v>535</v>
      </c>
      <c r="AM42" s="407"/>
      <c r="AN42" s="407" t="str">
        <f t="shared" si="1"/>
        <v>Территория действия тарифа</v>
      </c>
      <c r="AO42" s="407"/>
      <c r="AP42" s="407"/>
    </row>
    <row r="43" spans="1:42" ht="23.25" customHeight="1">
      <c r="A43" s="1240" t="s">
        <v>260</v>
      </c>
      <c r="B43" s="1240" t="s">
        <v>261</v>
      </c>
      <c r="C43" s="1240" t="s">
        <v>262</v>
      </c>
      <c r="D43" s="1240"/>
      <c r="E43" s="16125"/>
      <c r="F43" s="16125"/>
      <c r="G43" s="16124">
        <v>1</v>
      </c>
      <c r="H43" s="1240"/>
      <c r="I43" s="1240"/>
      <c r="J43" s="1240"/>
      <c r="K43" s="1240"/>
      <c r="L43" s="1241"/>
      <c r="M43" s="1242"/>
      <c r="N43" s="1242"/>
      <c r="O43" s="1242"/>
      <c r="P43" s="270"/>
      <c r="Q43" s="268"/>
      <c r="R43" s="269"/>
      <c r="S43" s="1331" t="str">
        <f>INDEX(PT_DIFFERENTIATION_NUM_CS,MATCH(C43,PT_DIFFERENTIATION_CS_ID,0))</f>
        <v>..</v>
      </c>
      <c r="T43" s="226" t="s">
        <v>616</v>
      </c>
      <c r="U43" s="217"/>
      <c r="V43" s="16110"/>
      <c r="W43" s="16111"/>
      <c r="X43" s="16111"/>
      <c r="Y43" s="16111"/>
      <c r="Z43" s="16111"/>
      <c r="AA43" s="16111"/>
      <c r="AB43" s="16112"/>
      <c r="AC43" s="16110" t="str">
        <f>INDEX(PT_DIFFERENTIATION_CS,MATCH(C43,PT_DIFFERENTIATION_CS_ID,0))</f>
        <v/>
      </c>
      <c r="AD43" s="16111"/>
      <c r="AE43" s="16111"/>
      <c r="AF43" s="16111"/>
      <c r="AG43" s="16111"/>
      <c r="AH43" s="16111"/>
      <c r="AI43" s="16111"/>
      <c r="AJ43" s="16112"/>
      <c r="AK43" s="1140" t="s">
        <v>617</v>
      </c>
      <c r="AM43" s="407"/>
      <c r="AN43" s="407" t="str">
        <f t="shared" si="1"/>
        <v>Наименование централизованной системы холодного водоснабжения</v>
      </c>
      <c r="AO43" s="407"/>
      <c r="AP43" s="407"/>
    </row>
    <row r="44" spans="1:42" ht="23.25" customHeight="1">
      <c r="A44" s="1240" t="s">
        <v>260</v>
      </c>
      <c r="B44" s="1240" t="s">
        <v>261</v>
      </c>
      <c r="C44" s="1240" t="s">
        <v>262</v>
      </c>
      <c r="D44" s="1240" t="s">
        <v>631</v>
      </c>
      <c r="E44" s="16125"/>
      <c r="F44" s="16125"/>
      <c r="G44" s="16125"/>
      <c r="H44" s="16125"/>
      <c r="I44" s="16122" t="str">
        <f>S43&amp;".1"</f>
        <v>...1</v>
      </c>
      <c r="J44" s="1240"/>
      <c r="K44" s="1240"/>
      <c r="L44" s="1241"/>
      <c r="P44" s="16123">
        <v>1</v>
      </c>
      <c r="Q44" s="1324"/>
      <c r="R44" s="272"/>
      <c r="S44" s="1331" t="str">
        <f>$I44</f>
        <v>...1</v>
      </c>
      <c r="T44" s="202" t="s">
        <v>618</v>
      </c>
      <c r="U44" s="217"/>
      <c r="V44" s="16183"/>
      <c r="W44" s="16184"/>
      <c r="X44" s="16184"/>
      <c r="Y44" s="16184"/>
      <c r="Z44" s="16184"/>
      <c r="AA44" s="16184"/>
      <c r="AB44" s="16185"/>
      <c r="AC44" s="16186"/>
      <c r="AD44" s="16187"/>
      <c r="AE44" s="16187"/>
      <c r="AF44" s="16187"/>
      <c r="AG44" s="16187"/>
      <c r="AH44" s="16187"/>
      <c r="AI44" s="16187"/>
      <c r="AJ44" s="16188"/>
      <c r="AK44" s="1140" t="s">
        <v>619</v>
      </c>
      <c r="AM44" s="407"/>
      <c r="AN44" s="407" t="str">
        <f t="shared" si="1"/>
        <v>Наименование признака дифференциации</v>
      </c>
      <c r="AO44" s="407"/>
      <c r="AP44" s="407"/>
    </row>
    <row r="45" spans="1:42" ht="23.25" customHeight="1">
      <c r="A45" s="1240" t="s">
        <v>260</v>
      </c>
      <c r="B45" s="1240" t="s">
        <v>261</v>
      </c>
      <c r="C45" s="1240" t="s">
        <v>262</v>
      </c>
      <c r="D45" s="1240" t="s">
        <v>631</v>
      </c>
      <c r="E45" s="16125"/>
      <c r="F45" s="16125"/>
      <c r="G45" s="16125"/>
      <c r="H45" s="16125"/>
      <c r="I45" s="16145"/>
      <c r="J45" s="16122" t="str">
        <f>I44&amp;".1"</f>
        <v>...1.1</v>
      </c>
      <c r="K45" s="1240"/>
      <c r="L45" s="1241" t="s">
        <v>543</v>
      </c>
      <c r="P45" s="16123"/>
      <c r="Q45" s="16123">
        <v>1</v>
      </c>
      <c r="R45" s="273"/>
      <c r="S45" s="1331" t="str">
        <f>$J45</f>
        <v>...1.1</v>
      </c>
      <c r="T45" s="203" t="s">
        <v>544</v>
      </c>
      <c r="U45" s="217"/>
      <c r="V45" s="16113"/>
      <c r="W45" s="16114"/>
      <c r="X45" s="16114"/>
      <c r="Y45" s="16114"/>
      <c r="Z45" s="16114"/>
      <c r="AA45" s="16114"/>
      <c r="AB45" s="16115"/>
      <c r="AC45" s="16113"/>
      <c r="AD45" s="16114"/>
      <c r="AE45" s="16114"/>
      <c r="AF45" s="16114"/>
      <c r="AG45" s="16114"/>
      <c r="AH45" s="16114"/>
      <c r="AI45" s="16114"/>
      <c r="AJ45" s="16115"/>
      <c r="AK45" s="1187" t="s">
        <v>620</v>
      </c>
      <c r="AM45" s="407"/>
      <c r="AN45" s="407" t="str">
        <f t="shared" si="1"/>
        <v>Группа потребителей</v>
      </c>
      <c r="AO45" s="407"/>
      <c r="AP45" s="407"/>
    </row>
    <row r="46" spans="1:42" ht="23.25" customHeight="1">
      <c r="A46" s="1240" t="s">
        <v>260</v>
      </c>
      <c r="B46" s="1240" t="s">
        <v>261</v>
      </c>
      <c r="C46" s="1240" t="s">
        <v>262</v>
      </c>
      <c r="D46" s="1240" t="s">
        <v>631</v>
      </c>
      <c r="E46" s="16125"/>
      <c r="F46" s="16125"/>
      <c r="G46" s="16125"/>
      <c r="H46" s="16125"/>
      <c r="I46" s="16145"/>
      <c r="J46" s="16145"/>
      <c r="K46" s="16122" t="str">
        <f>J45&amp;".1"</f>
        <v>...1.1.1</v>
      </c>
      <c r="L46" s="1241"/>
      <c r="P46" s="16123"/>
      <c r="Q46" s="16123"/>
      <c r="R46" s="273">
        <v>1</v>
      </c>
      <c r="S46" s="1331" t="str">
        <f>$K46</f>
        <v>...1.1.1</v>
      </c>
      <c r="T46" s="1313"/>
      <c r="U46" s="217"/>
      <c r="V46" s="649"/>
      <c r="W46" s="649"/>
      <c r="X46" s="1139"/>
      <c r="Y46" s="16127"/>
      <c r="Z46" s="15973" t="s">
        <v>66</v>
      </c>
      <c r="AA46" s="16127"/>
      <c r="AB46" s="15973" t="s">
        <v>66</v>
      </c>
      <c r="AC46" s="649"/>
      <c r="AD46" s="649"/>
      <c r="AE46" s="1139"/>
      <c r="AF46" s="16127"/>
      <c r="AG46" s="15973" t="s">
        <v>66</v>
      </c>
      <c r="AH46" s="16146"/>
      <c r="AI46" s="15973" t="s">
        <v>66</v>
      </c>
      <c r="AJ46" s="1314"/>
      <c r="AK46"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260</v>
      </c>
      <c r="B47" s="1240" t="s">
        <v>261</v>
      </c>
      <c r="C47" s="1240" t="s">
        <v>262</v>
      </c>
      <c r="D47" s="1240" t="s">
        <v>631</v>
      </c>
      <c r="E47" s="16125"/>
      <c r="F47" s="16125"/>
      <c r="G47" s="16125"/>
      <c r="H47" s="16125"/>
      <c r="I47" s="16145"/>
      <c r="J47" s="16145"/>
      <c r="K47" s="16122"/>
      <c r="L47" s="1241"/>
      <c r="P47" s="16123"/>
      <c r="Q47" s="16123"/>
      <c r="R47" s="273"/>
      <c r="S47" s="1330"/>
      <c r="T47" s="217"/>
      <c r="U47" s="217"/>
      <c r="V47" s="242"/>
      <c r="W47" s="242"/>
      <c r="X47" s="245" t="str">
        <f>Y46&amp;"-"&amp;AA46</f>
        <v>-</v>
      </c>
      <c r="Y47" s="16128"/>
      <c r="Z47" s="15973"/>
      <c r="AA47" s="16128"/>
      <c r="AB47" s="15973"/>
      <c r="AC47" s="242"/>
      <c r="AD47" s="242"/>
      <c r="AE47" s="245" t="str">
        <f>AF46&amp;"-"&amp;AH46</f>
        <v>-</v>
      </c>
      <c r="AF47" s="16128"/>
      <c r="AG47" s="15973"/>
      <c r="AH47" s="16147"/>
      <c r="AI47" s="15973"/>
      <c r="AJ47" s="1315"/>
      <c r="AK47" s="16182"/>
      <c r="AM47" s="407"/>
      <c r="AN47" s="407" t="str">
        <f t="shared" si="1"/>
        <v/>
      </c>
      <c r="AO47" s="407"/>
      <c r="AP47" s="407"/>
    </row>
    <row r="48" spans="1:42" ht="21" customHeight="1">
      <c r="A48" s="1240" t="s">
        <v>260</v>
      </c>
      <c r="B48" s="1240" t="s">
        <v>261</v>
      </c>
      <c r="C48" s="1240" t="s">
        <v>262</v>
      </c>
      <c r="D48" s="1240" t="s">
        <v>631</v>
      </c>
      <c r="E48" s="16125"/>
      <c r="F48" s="16125"/>
      <c r="G48" s="16125"/>
      <c r="H48" s="16125"/>
      <c r="I48" s="16145"/>
      <c r="J48" s="16122"/>
      <c r="K48" s="1240"/>
      <c r="L48" s="1241"/>
      <c r="P48" s="16123"/>
      <c r="Q48" s="16123"/>
      <c r="R48" s="272"/>
      <c r="S48" s="1160"/>
      <c r="T48" s="204" t="s">
        <v>621</v>
      </c>
      <c r="U48" s="282"/>
      <c r="V48" s="282"/>
      <c r="W48" s="282"/>
      <c r="X48" s="282"/>
      <c r="Y48" s="282"/>
      <c r="Z48" s="282"/>
      <c r="AA48" s="282"/>
      <c r="AB48" s="282"/>
      <c r="AC48" s="282"/>
      <c r="AD48" s="282"/>
      <c r="AE48" s="282"/>
      <c r="AF48" s="282"/>
      <c r="AG48" s="282"/>
      <c r="AH48" s="282"/>
      <c r="AI48" s="282"/>
      <c r="AJ48" s="282"/>
      <c r="AK48" s="1140" t="s">
        <v>622</v>
      </c>
      <c r="AM48" s="407"/>
      <c r="AN48" s="407" t="str">
        <f t="shared" si="1"/>
        <v>Добавить значение признака дифференциации</v>
      </c>
      <c r="AO48" s="407"/>
      <c r="AP48" s="407"/>
    </row>
    <row r="49" spans="1:42" ht="21" customHeight="1">
      <c r="A49" s="1240" t="s">
        <v>260</v>
      </c>
      <c r="B49" s="1240" t="s">
        <v>261</v>
      </c>
      <c r="C49" s="1240" t="s">
        <v>262</v>
      </c>
      <c r="D49" s="1240" t="s">
        <v>631</v>
      </c>
      <c r="E49" s="16125"/>
      <c r="F49" s="16125"/>
      <c r="G49" s="16125"/>
      <c r="H49" s="16125"/>
      <c r="I49" s="16122"/>
      <c r="J49" s="1240"/>
      <c r="K49" s="1240"/>
      <c r="L49" s="1241"/>
      <c r="P49" s="16123"/>
      <c r="Q49" s="1324"/>
      <c r="R49" s="272"/>
      <c r="S49" s="1160"/>
      <c r="T49" s="280" t="s">
        <v>549</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260</v>
      </c>
      <c r="B50" s="1240" t="s">
        <v>261</v>
      </c>
      <c r="C50" s="1240" t="s">
        <v>262</v>
      </c>
      <c r="D50" s="1240" t="s">
        <v>631</v>
      </c>
      <c r="E50" s="16125"/>
      <c r="F50" s="16125"/>
      <c r="G50" s="16125"/>
      <c r="H50" s="16124"/>
      <c r="I50" s="1240"/>
      <c r="J50" s="1240"/>
      <c r="K50" s="1240"/>
      <c r="L50" s="1241"/>
      <c r="M50" s="1242"/>
      <c r="N50" s="1242"/>
      <c r="O50" s="443"/>
      <c r="P50" s="276"/>
      <c r="Q50" s="290"/>
      <c r="R50" s="271"/>
      <c r="S50" s="1160"/>
      <c r="T50" s="287" t="s">
        <v>623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4418" customFormat="1" ht="0" hidden="1" customHeight="1">
      <c r="A51" s="1221" t="s">
        <v>260</v>
      </c>
      <c r="B51" s="1221" t="s">
        <v>261</v>
      </c>
      <c r="C51" s="1193"/>
      <c r="D51" s="1193"/>
      <c r="E51" s="16125"/>
      <c r="F51" s="16124"/>
      <c r="G51" s="1193"/>
      <c r="H51" s="1193"/>
      <c r="I51" s="1193"/>
      <c r="J51" s="1193"/>
      <c r="K51" s="1193"/>
      <c r="L51" s="1332"/>
      <c r="M51" s="1200"/>
      <c r="N51" s="1200"/>
      <c r="P51" s="1195"/>
      <c r="Q51" s="1196"/>
      <c r="R51" s="1195"/>
      <c r="S51" s="1201"/>
      <c r="T51" s="1204" t="s">
        <v>290</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4421" customFormat="1" ht="0" hidden="1" customHeight="1">
      <c r="A52" s="1221" t="s">
        <v>260</v>
      </c>
      <c r="B52" s="1221"/>
      <c r="C52" s="1221"/>
      <c r="D52" s="1221"/>
      <c r="E52" s="16124"/>
      <c r="F52" s="1221"/>
      <c r="G52" s="1221"/>
      <c r="H52" s="1221"/>
      <c r="I52" s="1221"/>
      <c r="J52" s="1221"/>
      <c r="K52" s="1221"/>
      <c r="L52" s="1224"/>
      <c r="M52" s="1200"/>
      <c r="N52" s="1200"/>
      <c r="O52" s="425"/>
      <c r="P52" s="295"/>
      <c r="Q52" s="1222"/>
      <c r="R52" s="295"/>
      <c r="S52" s="1201"/>
      <c r="T52" s="1204" t="s">
        <v>326</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4418" customFormat="1" ht="0" hidden="1" customHeight="1">
      <c r="A53" s="1193"/>
      <c r="B53" s="1193"/>
      <c r="C53" s="1193"/>
      <c r="D53" s="1193"/>
      <c r="E53" s="1221"/>
      <c r="F53" s="1193"/>
      <c r="G53" s="1193"/>
      <c r="H53" s="1193"/>
      <c r="I53" s="1193"/>
      <c r="J53" s="1193"/>
      <c r="K53" s="1193"/>
      <c r="L53" s="1332"/>
      <c r="M53" s="1200"/>
      <c r="N53" s="1200"/>
      <c r="P53" s="1195"/>
      <c r="Q53" s="1196"/>
      <c r="R53" s="1195"/>
      <c r="S53" s="1201"/>
      <c r="T53" s="1204" t="s">
        <v>390</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16144"/>
      <c r="U55" s="16144"/>
      <c r="V55" s="16144"/>
      <c r="W55" s="16144"/>
      <c r="X55" s="16144"/>
      <c r="Y55" s="16144"/>
      <c r="Z55" s="16144"/>
      <c r="AA55" s="16144"/>
      <c r="AB55" s="16144"/>
      <c r="AC55" s="16144"/>
      <c r="AD55" s="16144"/>
      <c r="AE55" s="16144"/>
      <c r="AF55" s="16144"/>
      <c r="AG55" s="16144"/>
      <c r="AH55" s="16144"/>
      <c r="AI55" s="16144"/>
      <c r="AJ55" s="16144"/>
      <c r="AK55" s="16144"/>
    </row>
    <row r="56" spans="1:42" ht="14.25" customHeight="1">
      <c r="O56" s="443"/>
    </row>
    <row r="57" spans="1:42" ht="14.25" customHeight="1">
      <c r="O57" s="443"/>
      <c r="S57" s="1135"/>
      <c r="T57" s="16144"/>
      <c r="U57" s="16144"/>
      <c r="V57" s="16144"/>
      <c r="W57" s="16144"/>
      <c r="X57" s="16144"/>
      <c r="Y57" s="16144"/>
      <c r="Z57" s="16144"/>
      <c r="AA57" s="16144"/>
      <c r="AB57" s="16144"/>
      <c r="AC57" s="16144"/>
      <c r="AD57" s="16144"/>
      <c r="AE57" s="16144"/>
      <c r="AF57" s="16144"/>
      <c r="AG57" s="16144"/>
      <c r="AH57" s="16144"/>
      <c r="AI57" s="16144"/>
      <c r="AJ57" s="16144"/>
      <c r="AK57" s="1614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4.140625" style="14419" hidden="1" customWidth="1"/>
    <col min="10" max="10" width="9.85546875" style="14419" hidden="1" customWidth="1"/>
    <col min="11" max="11" width="14.7109375" style="14419" hidden="1" customWidth="1"/>
    <col min="12" max="12" width="19.140625" style="14442" hidden="1" customWidth="1"/>
    <col min="13" max="14" width="12.28515625" style="14423" hidden="1" customWidth="1"/>
    <col min="15" max="15" width="23.42578125" style="14423" hidden="1" customWidth="1"/>
    <col min="16" max="16" width="3.7109375" style="14443" customWidth="1"/>
    <col min="17" max="18" width="3.7109375" style="14425" customWidth="1"/>
    <col min="19" max="19" width="12.7109375" style="14426" customWidth="1"/>
    <col min="20" max="20" width="35.7109375" style="14427" customWidth="1"/>
    <col min="21" max="21" width="0.140625" style="14427" customWidth="1"/>
    <col min="22" max="24" width="24.7109375" style="14427" hidden="1" customWidth="1"/>
    <col min="25" max="25" width="11.7109375" style="14427" hidden="1" customWidth="1"/>
    <col min="26" max="26" width="3.7109375" style="14427" hidden="1" customWidth="1"/>
    <col min="27" max="27" width="11.7109375" style="14427" hidden="1" customWidth="1"/>
    <col min="28" max="28" width="8.5703125" style="14427" hidden="1" customWidth="1"/>
    <col min="29" max="31" width="24.7109375" style="14427" customWidth="1"/>
    <col min="32" max="32" width="11.7109375" style="14427" customWidth="1"/>
    <col min="33" max="33" width="3.7109375" style="14427" customWidth="1"/>
    <col min="34" max="34" width="11.7109375" style="14427" customWidth="1"/>
    <col min="35" max="35" width="8.5703125" style="14427" hidden="1" customWidth="1"/>
    <col min="36" max="36" width="4.7109375" style="14427" customWidth="1"/>
    <col min="37" max="37" width="115.7109375" style="14427" customWidth="1"/>
    <col min="38" max="39" width="10.5703125" style="14421"/>
    <col min="40" max="40" width="11.140625" style="14421" customWidth="1"/>
    <col min="41" max="42" width="10.5703125" style="14421"/>
  </cols>
  <sheetData>
    <row r="1" spans="1:42" ht="14.25" hidden="1" customHeight="1">
      <c r="X1" s="244"/>
      <c r="Y1" s="244"/>
      <c r="AE1" s="244"/>
      <c r="AF1" s="244"/>
    </row>
    <row r="2" spans="1:42" ht="23.25" hidden="1" customHeight="1">
      <c r="A2" s="1240"/>
      <c r="B2" s="1240"/>
      <c r="C2" s="1240"/>
      <c r="D2" s="1240"/>
      <c r="E2" s="16124">
        <v>1</v>
      </c>
      <c r="F2" s="1240"/>
      <c r="G2" s="1240"/>
      <c r="H2" s="1240"/>
      <c r="I2" s="1240"/>
      <c r="J2" s="1240"/>
      <c r="K2" s="1240"/>
      <c r="L2" s="1241"/>
      <c r="M2" s="1242"/>
      <c r="N2" s="1242"/>
      <c r="O2" s="1242"/>
      <c r="P2" s="277"/>
      <c r="Q2" s="276"/>
      <c r="R2" s="271"/>
      <c r="S2" s="1331" t="e">
        <f>INDEX(PT_DIFFERENTIATION_NUM_NTAR,MATCH(A2,PT_DIFFERENTIATION_NTAR_ID,0))</f>
        <v>#N/A</v>
      </c>
      <c r="T2" s="215" t="s">
        <v>158</v>
      </c>
      <c r="U2" s="217"/>
      <c r="V2" s="16110"/>
      <c r="W2" s="16111"/>
      <c r="X2" s="16111"/>
      <c r="Y2" s="16111"/>
      <c r="Z2" s="16111"/>
      <c r="AA2" s="16111"/>
      <c r="AB2" s="16112"/>
      <c r="AC2" s="16110" t="e">
        <f>INDEX(PT_DIFFERENTIATION_NTAR,MATCH(A2,PT_DIFFERENTIATION_NTAR_ID,0))</f>
        <v>#N/A</v>
      </c>
      <c r="AD2" s="16111"/>
      <c r="AE2" s="16111"/>
      <c r="AF2" s="16111"/>
      <c r="AG2" s="16111"/>
      <c r="AH2" s="16111"/>
      <c r="AI2" s="16111"/>
      <c r="AJ2" s="16112"/>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16125"/>
      <c r="F3" s="16124">
        <v>1</v>
      </c>
      <c r="G3" s="1240"/>
      <c r="H3" s="1240"/>
      <c r="I3" s="1240"/>
      <c r="J3" s="1240"/>
      <c r="K3" s="1240"/>
      <c r="L3" s="1241"/>
      <c r="M3" s="1242"/>
      <c r="N3" s="1242"/>
      <c r="O3" s="1242"/>
      <c r="P3" s="1327"/>
      <c r="Q3" s="268"/>
      <c r="R3" s="269"/>
      <c r="S3" s="1331" t="e">
        <f>INDEX(PT_DIFFERENTIATION_NUM_TER,MATCH(B3,PT_DIFFERENTIATION_TER_ID,0))</f>
        <v>#N/A</v>
      </c>
      <c r="T3" s="225" t="s">
        <v>534</v>
      </c>
      <c r="U3" s="217"/>
      <c r="V3" s="16110"/>
      <c r="W3" s="16111"/>
      <c r="X3" s="16111"/>
      <c r="Y3" s="16111"/>
      <c r="Z3" s="16111"/>
      <c r="AA3" s="16111"/>
      <c r="AB3" s="16112"/>
      <c r="AC3" s="16110" t="e">
        <f>INDEX(PT_DIFFERENTIATION_TER,MATCH(B3,PT_DIFFERENTIATION_TER_ID,0))</f>
        <v>#N/A</v>
      </c>
      <c r="AD3" s="16111"/>
      <c r="AE3" s="16111"/>
      <c r="AF3" s="16111"/>
      <c r="AG3" s="16111"/>
      <c r="AH3" s="16111"/>
      <c r="AI3" s="16111"/>
      <c r="AJ3" s="16112"/>
      <c r="AK3" s="1140" t="s">
        <v>535</v>
      </c>
      <c r="AM3" s="407"/>
      <c r="AN3" s="407" t="str">
        <f t="shared" si="0"/>
        <v>Территория действия тарифа</v>
      </c>
      <c r="AO3" s="407"/>
      <c r="AP3" s="407"/>
    </row>
    <row r="4" spans="1:42" ht="23.25" hidden="1" customHeight="1">
      <c r="A4" s="1240"/>
      <c r="B4" s="1240"/>
      <c r="C4" s="1240"/>
      <c r="D4" s="1240"/>
      <c r="E4" s="16125"/>
      <c r="F4" s="16125"/>
      <c r="G4" s="16124">
        <v>1</v>
      </c>
      <c r="H4" s="1240"/>
      <c r="I4" s="1240"/>
      <c r="J4" s="1240"/>
      <c r="K4" s="1240"/>
      <c r="L4" s="1241"/>
      <c r="M4" s="1242"/>
      <c r="N4" s="1242"/>
      <c r="O4" s="1242"/>
      <c r="P4" s="270"/>
      <c r="Q4" s="268"/>
      <c r="R4" s="269"/>
      <c r="S4" s="1331" t="e">
        <f>INDEX(PT_DIFFERENTIATION_NUM_CS,MATCH(C4,PT_DIFFERENTIATION_CS_ID,0))</f>
        <v>#N/A</v>
      </c>
      <c r="T4" s="226" t="s">
        <v>616</v>
      </c>
      <c r="U4" s="217"/>
      <c r="V4" s="16110"/>
      <c r="W4" s="16111"/>
      <c r="X4" s="16111"/>
      <c r="Y4" s="16111"/>
      <c r="Z4" s="16111"/>
      <c r="AA4" s="16111"/>
      <c r="AB4" s="16112"/>
      <c r="AC4" s="16110" t="e">
        <f>INDEX(PT_DIFFERENTIATION_CS,MATCH(C4,PT_DIFFERENTIATION_CS_ID,0))</f>
        <v>#N/A</v>
      </c>
      <c r="AD4" s="16111"/>
      <c r="AE4" s="16111"/>
      <c r="AF4" s="16111"/>
      <c r="AG4" s="16111"/>
      <c r="AH4" s="16111"/>
      <c r="AI4" s="16111"/>
      <c r="AJ4" s="16112"/>
      <c r="AK4" s="1140" t="s">
        <v>617</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16125"/>
      <c r="F5" s="16125"/>
      <c r="G5" s="16125"/>
      <c r="H5" s="16125"/>
      <c r="I5" s="16122" t="e">
        <f>S4&amp;".1"</f>
        <v>#N/A</v>
      </c>
      <c r="J5" s="1240"/>
      <c r="K5" s="1240"/>
      <c r="L5" s="1241"/>
      <c r="P5" s="16123">
        <v>1</v>
      </c>
      <c r="Q5" s="1324"/>
      <c r="R5" s="272"/>
      <c r="S5" s="1331" t="e">
        <f>$I5</f>
        <v>#N/A</v>
      </c>
      <c r="T5" s="202" t="s">
        <v>618</v>
      </c>
      <c r="U5" s="217"/>
      <c r="V5" s="16183"/>
      <c r="W5" s="16184"/>
      <c r="X5" s="16184"/>
      <c r="Y5" s="16184"/>
      <c r="Z5" s="16184"/>
      <c r="AA5" s="16184"/>
      <c r="AB5" s="16185"/>
      <c r="AC5" s="16186"/>
      <c r="AD5" s="16187"/>
      <c r="AE5" s="16187"/>
      <c r="AF5" s="16187"/>
      <c r="AG5" s="16187"/>
      <c r="AH5" s="16187"/>
      <c r="AI5" s="16187"/>
      <c r="AJ5" s="16188"/>
      <c r="AK5" s="1140" t="s">
        <v>619</v>
      </c>
      <c r="AM5" s="407"/>
      <c r="AN5" s="407" t="str">
        <f t="shared" si="0"/>
        <v>Наименование признака дифференциации</v>
      </c>
      <c r="AO5" s="407"/>
      <c r="AP5" s="407"/>
    </row>
    <row r="6" spans="1:42" ht="23.25" hidden="1" customHeight="1">
      <c r="A6" s="1240"/>
      <c r="B6" s="1240"/>
      <c r="C6" s="1240"/>
      <c r="D6" s="1240"/>
      <c r="E6" s="16125"/>
      <c r="F6" s="16125"/>
      <c r="G6" s="16125"/>
      <c r="H6" s="16125"/>
      <c r="I6" s="16145"/>
      <c r="J6" s="16122" t="e">
        <f>I5&amp;".1"</f>
        <v>#N/A</v>
      </c>
      <c r="K6" s="1240"/>
      <c r="L6" s="1241" t="s">
        <v>543</v>
      </c>
      <c r="P6" s="16123"/>
      <c r="Q6" s="16123">
        <v>1</v>
      </c>
      <c r="R6" s="273"/>
      <c r="S6" s="1331" t="e">
        <f>$J6</f>
        <v>#N/A</v>
      </c>
      <c r="T6" s="203" t="s">
        <v>544</v>
      </c>
      <c r="U6" s="217"/>
      <c r="V6" s="16113"/>
      <c r="W6" s="16114"/>
      <c r="X6" s="16114"/>
      <c r="Y6" s="16114"/>
      <c r="Z6" s="16114"/>
      <c r="AA6" s="16114"/>
      <c r="AB6" s="16115"/>
      <c r="AC6" s="16113"/>
      <c r="AD6" s="16114"/>
      <c r="AE6" s="16114"/>
      <c r="AF6" s="16114"/>
      <c r="AG6" s="16114"/>
      <c r="AH6" s="16114"/>
      <c r="AI6" s="16114"/>
      <c r="AJ6" s="16115"/>
      <c r="AK6" s="1187" t="s">
        <v>620</v>
      </c>
      <c r="AM6" s="407"/>
      <c r="AN6" s="407" t="str">
        <f t="shared" si="0"/>
        <v>Группа потребителей</v>
      </c>
      <c r="AO6" s="407"/>
      <c r="AP6" s="407"/>
    </row>
    <row r="7" spans="1:42" ht="23.25" hidden="1" customHeight="1">
      <c r="A7" s="1240"/>
      <c r="B7" s="1240"/>
      <c r="C7" s="1240"/>
      <c r="D7" s="1240"/>
      <c r="E7" s="16125"/>
      <c r="F7" s="16125"/>
      <c r="G7" s="16125"/>
      <c r="H7" s="16125"/>
      <c r="I7" s="16145"/>
      <c r="J7" s="16145"/>
      <c r="K7" s="16122" t="e">
        <f>J6&amp;".1"</f>
        <v>#N/A</v>
      </c>
      <c r="L7" s="1241"/>
      <c r="P7" s="16123"/>
      <c r="Q7" s="16123"/>
      <c r="R7" s="273">
        <v>1</v>
      </c>
      <c r="S7" s="1331" t="e">
        <f>$K7</f>
        <v>#N/A</v>
      </c>
      <c r="T7" s="1313"/>
      <c r="U7" s="217"/>
      <c r="V7" s="649"/>
      <c r="W7" s="649"/>
      <c r="X7" s="1139"/>
      <c r="Y7" s="16127"/>
      <c r="Z7" s="15973" t="s">
        <v>66</v>
      </c>
      <c r="AA7" s="16127"/>
      <c r="AB7" s="15973" t="s">
        <v>66</v>
      </c>
      <c r="AC7" s="649"/>
      <c r="AD7" s="649"/>
      <c r="AE7" s="1139"/>
      <c r="AF7" s="16127"/>
      <c r="AG7" s="15973" t="s">
        <v>66</v>
      </c>
      <c r="AH7" s="16146"/>
      <c r="AI7" s="15973" t="s">
        <v>66</v>
      </c>
      <c r="AJ7" s="1314"/>
      <c r="AK7"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16125"/>
      <c r="F8" s="16125"/>
      <c r="G8" s="16125"/>
      <c r="H8" s="16125"/>
      <c r="I8" s="16145"/>
      <c r="J8" s="16145"/>
      <c r="K8" s="16122"/>
      <c r="L8" s="1241"/>
      <c r="P8" s="16123"/>
      <c r="Q8" s="16123"/>
      <c r="R8" s="273"/>
      <c r="S8" s="1330"/>
      <c r="T8" s="217"/>
      <c r="U8" s="217"/>
      <c r="V8" s="242"/>
      <c r="W8" s="242"/>
      <c r="X8" s="245" t="str">
        <f>Y7&amp;"-"&amp;AA7</f>
        <v>-</v>
      </c>
      <c r="Y8" s="16128"/>
      <c r="Z8" s="15973"/>
      <c r="AA8" s="16128"/>
      <c r="AB8" s="15973"/>
      <c r="AC8" s="242"/>
      <c r="AD8" s="242"/>
      <c r="AE8" s="245" t="str">
        <f>AF7&amp;"-"&amp;AH7</f>
        <v>-</v>
      </c>
      <c r="AF8" s="16128"/>
      <c r="AG8" s="15973"/>
      <c r="AH8" s="16147"/>
      <c r="AI8" s="15973"/>
      <c r="AJ8" s="1315"/>
      <c r="AK8" s="16182"/>
      <c r="AM8" s="407"/>
      <c r="AN8" s="407" t="str">
        <f t="shared" si="0"/>
        <v/>
      </c>
      <c r="AO8" s="407"/>
      <c r="AP8" s="407"/>
    </row>
    <row r="9" spans="1:42" ht="21" hidden="1" customHeight="1">
      <c r="A9" s="1240"/>
      <c r="B9" s="1240"/>
      <c r="C9" s="1240"/>
      <c r="D9" s="1240"/>
      <c r="E9" s="16125"/>
      <c r="F9" s="16125"/>
      <c r="G9" s="16125"/>
      <c r="H9" s="16125"/>
      <c r="I9" s="16145"/>
      <c r="J9" s="16122"/>
      <c r="K9" s="1240"/>
      <c r="L9" s="1241"/>
      <c r="P9" s="16123"/>
      <c r="Q9" s="16123"/>
      <c r="R9" s="272"/>
      <c r="S9" s="1160"/>
      <c r="T9" s="204" t="s">
        <v>621</v>
      </c>
      <c r="U9" s="282"/>
      <c r="V9" s="282"/>
      <c r="W9" s="282"/>
      <c r="X9" s="282"/>
      <c r="Y9" s="282"/>
      <c r="Z9" s="282"/>
      <c r="AA9" s="282"/>
      <c r="AB9" s="282"/>
      <c r="AC9" s="282"/>
      <c r="AD9" s="282"/>
      <c r="AE9" s="282"/>
      <c r="AF9" s="282"/>
      <c r="AG9" s="282"/>
      <c r="AH9" s="282"/>
      <c r="AI9" s="282"/>
      <c r="AJ9" s="282"/>
      <c r="AK9" s="1140" t="s">
        <v>622</v>
      </c>
      <c r="AM9" s="407"/>
      <c r="AN9" s="407" t="str">
        <f t="shared" si="0"/>
        <v>Добавить значение признака дифференциации</v>
      </c>
      <c r="AO9" s="407"/>
      <c r="AP9" s="407"/>
    </row>
    <row r="10" spans="1:42" ht="21" hidden="1" customHeight="1">
      <c r="A10" s="1240"/>
      <c r="B10" s="1240"/>
      <c r="C10" s="1240"/>
      <c r="D10" s="1240"/>
      <c r="E10" s="16125"/>
      <c r="F10" s="16125"/>
      <c r="G10" s="16125"/>
      <c r="H10" s="16125"/>
      <c r="I10" s="16122"/>
      <c r="J10" s="1240"/>
      <c r="K10" s="1240"/>
      <c r="L10" s="1241"/>
      <c r="P10" s="16123"/>
      <c r="Q10" s="1324"/>
      <c r="R10" s="272"/>
      <c r="S10" s="1160"/>
      <c r="T10" s="280" t="s">
        <v>549</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16125"/>
      <c r="F11" s="16125"/>
      <c r="G11" s="16125"/>
      <c r="H11" s="16124"/>
      <c r="I11" s="1240"/>
      <c r="J11" s="1240"/>
      <c r="K11" s="1240"/>
      <c r="L11" s="1241"/>
      <c r="M11" s="1242"/>
      <c r="N11" s="1242"/>
      <c r="O11" s="443"/>
      <c r="P11" s="276"/>
      <c r="Q11" s="290"/>
      <c r="R11" s="271"/>
      <c r="S11" s="1160"/>
      <c r="T11" s="287" t="s">
        <v>623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4418" customFormat="1" ht="14.25" hidden="1" customHeight="1">
      <c r="A12" s="1221"/>
      <c r="B12" s="1221"/>
      <c r="C12" s="1193"/>
      <c r="D12" s="1193"/>
      <c r="E12" s="16125"/>
      <c r="F12" s="16124"/>
      <c r="G12" s="1193"/>
      <c r="H12" s="1193"/>
      <c r="I12" s="1193"/>
      <c r="J12" s="1193"/>
      <c r="K12" s="1193"/>
      <c r="L12" s="1332"/>
      <c r="M12" s="1200"/>
      <c r="N12" s="1200"/>
      <c r="P12" s="1195"/>
      <c r="Q12" s="1196"/>
      <c r="R12" s="1195"/>
      <c r="S12" s="1201"/>
      <c r="T12" s="1204" t="s">
        <v>290</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4421" customFormat="1" ht="14.25" hidden="1" customHeight="1">
      <c r="A13" s="1221"/>
      <c r="B13" s="1221"/>
      <c r="C13" s="1221"/>
      <c r="D13" s="1221"/>
      <c r="E13" s="16124"/>
      <c r="F13" s="1221"/>
      <c r="G13" s="1221"/>
      <c r="H13" s="1221"/>
      <c r="I13" s="1221"/>
      <c r="J13" s="1221"/>
      <c r="K13" s="1221"/>
      <c r="L13" s="1224"/>
      <c r="M13" s="1200"/>
      <c r="N13" s="1200"/>
      <c r="O13" s="425"/>
      <c r="P13" s="295"/>
      <c r="Q13" s="1222"/>
      <c r="R13" s="295"/>
      <c r="S13" s="1201"/>
      <c r="T13" s="1204" t="s">
        <v>326</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16129"/>
      <c r="AG15" s="16130" t="s">
        <v>66</v>
      </c>
      <c r="AH15" s="16129"/>
      <c r="AI15" s="16130" t="s">
        <v>66</v>
      </c>
    </row>
    <row r="16" spans="1:42" ht="14.25" hidden="1" customHeight="1">
      <c r="AC16" s="1237"/>
      <c r="AD16" s="1237"/>
      <c r="AE16" s="245" t="str">
        <f>AF15&amp;"-"&amp;AH15</f>
        <v>-</v>
      </c>
      <c r="AF16" s="16130"/>
      <c r="AG16" s="16130"/>
      <c r="AH16" s="16130"/>
      <c r="AI16" s="16130"/>
    </row>
    <row r="17" spans="1:42" ht="14.25" hidden="1" customHeight="1">
      <c r="AI17" s="244"/>
    </row>
    <row r="18" spans="1:42" s="14419" customFormat="1" ht="22.5" hidden="1" customHeight="1">
      <c r="L18" s="1321"/>
      <c r="M18" s="1239"/>
      <c r="N18" s="1239"/>
      <c r="O18" s="1244" t="s">
        <v>552</v>
      </c>
      <c r="P18" s="1239"/>
      <c r="Q18" s="1248"/>
      <c r="R18" s="1248"/>
      <c r="S18" s="629"/>
      <c r="Y18" s="1244"/>
      <c r="AA18" s="1244"/>
      <c r="AB18" s="1243"/>
      <c r="AF18" s="1244"/>
      <c r="AH18" s="1244"/>
      <c r="AI18" s="1243"/>
      <c r="AL18" s="418"/>
      <c r="AM18" s="418"/>
      <c r="AN18" s="418"/>
      <c r="AO18" s="418"/>
      <c r="AP18" s="418"/>
    </row>
    <row r="19" spans="1:42" s="14419" customFormat="1" ht="14.25" hidden="1" customHeight="1">
      <c r="L19" s="1321"/>
      <c r="M19" s="1239"/>
      <c r="N19" s="1239"/>
      <c r="O19" s="1239"/>
      <c r="P19" s="1239"/>
      <c r="Q19" s="1248"/>
      <c r="R19" s="1248"/>
      <c r="S19" s="629"/>
      <c r="AB19" s="1243"/>
      <c r="AI19" s="1243"/>
      <c r="AL19" s="418"/>
      <c r="AM19" s="418"/>
      <c r="AN19" s="418"/>
      <c r="AO19" s="418"/>
      <c r="AP19" s="418"/>
    </row>
    <row r="20" spans="1:42" s="14419" customFormat="1" ht="12" hidden="1" customHeight="1">
      <c r="L20" s="1321"/>
      <c r="M20" s="1239"/>
      <c r="N20" s="1239"/>
      <c r="O20" s="1241" t="s">
        <v>553</v>
      </c>
      <c r="P20" s="1239"/>
      <c r="Q20" s="1317"/>
      <c r="R20" s="1317"/>
      <c r="S20" s="629"/>
      <c r="T20" s="1041" t="s">
        <v>554</v>
      </c>
      <c r="Z20" s="108" t="s">
        <v>555</v>
      </c>
      <c r="AB20" s="108" t="s">
        <v>556</v>
      </c>
      <c r="AC20" s="1041" t="s">
        <v>554</v>
      </c>
      <c r="AG20" s="108" t="s">
        <v>557</v>
      </c>
      <c r="AI20" s="108" t="s">
        <v>556</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1610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6108"/>
      <c r="U24" s="16108"/>
      <c r="V24" s="16108"/>
      <c r="W24" s="16108"/>
      <c r="X24" s="16108"/>
      <c r="Y24" s="16108"/>
      <c r="Z24" s="16108"/>
      <c r="AA24" s="16108"/>
      <c r="AB24" s="16108"/>
      <c r="AC24" s="16108"/>
      <c r="AD24" s="16108"/>
      <c r="AE24" s="16108"/>
      <c r="AF24" s="16108"/>
      <c r="AG24" s="16108"/>
      <c r="AH24" s="16108"/>
      <c r="AI24" s="1125"/>
    </row>
    <row r="25" spans="1:42" ht="14.25" customHeight="1">
      <c r="Q25" s="291"/>
      <c r="R25" s="291"/>
      <c r="S25" s="16056" t="str">
        <f>IF(org=0,"Не определено",org)</f>
        <v>АО "Мурманэнергосбыт"</v>
      </c>
      <c r="T25" s="16056"/>
      <c r="U25" s="16056"/>
      <c r="V25" s="16056"/>
      <c r="W25" s="16056"/>
      <c r="X25" s="16056"/>
      <c r="Y25" s="16056"/>
      <c r="Z25" s="16056"/>
      <c r="AA25" s="16056"/>
      <c r="AB25" s="16056"/>
      <c r="AC25" s="16056"/>
      <c r="AD25" s="16056"/>
      <c r="AE25" s="16056"/>
      <c r="AF25" s="16056"/>
      <c r="AG25" s="16056"/>
      <c r="AH25" s="16056"/>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4420" customFormat="1" ht="25.5" customHeight="1">
      <c r="A27" s="1245"/>
      <c r="B27" s="1245"/>
      <c r="C27" s="1245"/>
      <c r="D27" s="1245"/>
      <c r="E27" s="1245"/>
      <c r="F27" s="1245"/>
      <c r="G27" s="1245"/>
      <c r="H27" s="1245"/>
      <c r="I27" s="1245"/>
      <c r="J27" s="1245"/>
      <c r="K27" s="1245"/>
      <c r="L27" s="1246"/>
      <c r="M27" s="1245"/>
      <c r="N27" s="1245"/>
      <c r="O27" s="1245"/>
      <c r="S27" s="16116" t="s">
        <v>38</v>
      </c>
      <c r="T27" s="16116"/>
      <c r="U27" s="1249"/>
      <c r="V27" s="16117" t="str">
        <f>IF(TITLE_NAME_OR_PR_CHANGE="",IF(TITLE_NAME_OR_PR="","",TITLE_NAME_OR_PR),TITLE_NAME_OR_PR_CHANGE)</f>
        <v>Комитет по тарифному регулированию Мурманской области</v>
      </c>
      <c r="W27" s="16117"/>
      <c r="X27" s="16117"/>
      <c r="Y27" s="16117"/>
      <c r="Z27" s="16117"/>
      <c r="AA27" s="16117"/>
      <c r="AB27" s="243"/>
      <c r="AC27" s="16117" t="str">
        <f>IF(TITLE_NAME_OR_PR_CHANGE="",IF(TITLE_NAME_OR_PR="","",TITLE_NAME_OR_PR),TITLE_NAME_OR_PR_CHANGE)</f>
        <v>Комитет по тарифному регулированию Мурманской области</v>
      </c>
      <c r="AD27" s="16117"/>
      <c r="AE27" s="16117"/>
      <c r="AF27" s="16117"/>
      <c r="AG27" s="16117"/>
      <c r="AH27" s="16117"/>
      <c r="AI27" s="243"/>
      <c r="AJ27" s="243"/>
      <c r="AK27" s="198"/>
      <c r="AL27" s="283"/>
      <c r="AM27" s="283"/>
      <c r="AN27" s="283"/>
      <c r="AO27" s="283"/>
      <c r="AP27" s="283"/>
    </row>
    <row r="28" spans="1:42" s="14420" customFormat="1" ht="18.75" customHeight="1">
      <c r="A28" s="1245"/>
      <c r="B28" s="1245"/>
      <c r="C28" s="1245"/>
      <c r="D28" s="1245"/>
      <c r="E28" s="1245"/>
      <c r="F28" s="1245"/>
      <c r="G28" s="1245"/>
      <c r="H28" s="1245"/>
      <c r="I28" s="1245"/>
      <c r="J28" s="1245"/>
      <c r="K28" s="1245"/>
      <c r="L28" s="1246"/>
      <c r="M28" s="1245"/>
      <c r="N28" s="1245"/>
      <c r="O28" s="1245"/>
      <c r="S28" s="16116" t="s">
        <v>558</v>
      </c>
      <c r="T28" s="16116"/>
      <c r="U28" s="1249"/>
      <c r="V28" s="16126">
        <f>IF(TITLE_DATE_PR_CHANGE="",IF(TITLE_DATE_PR="","",TITLE_DATE_PR),TITLE_DATE_PR_CHANGE)</f>
        <v>45379</v>
      </c>
      <c r="W28" s="16126"/>
      <c r="X28" s="16126"/>
      <c r="Y28" s="16126"/>
      <c r="Z28" s="16126"/>
      <c r="AA28" s="16126"/>
      <c r="AB28" s="243"/>
      <c r="AC28" s="16126">
        <f>IF(TITLE_DATE_PR_CHANGE="",IF(TITLE_DATE_PR="","",TITLE_DATE_PR),TITLE_DATE_PR_CHANGE)</f>
        <v>45379</v>
      </c>
      <c r="AD28" s="16126"/>
      <c r="AE28" s="16126"/>
      <c r="AF28" s="16126"/>
      <c r="AG28" s="16126"/>
      <c r="AH28" s="16126"/>
      <c r="AI28" s="243"/>
      <c r="AJ28" s="243"/>
      <c r="AK28" s="198"/>
      <c r="AL28" s="283"/>
      <c r="AM28" s="283"/>
      <c r="AN28" s="283"/>
      <c r="AO28" s="283"/>
      <c r="AP28" s="283"/>
    </row>
    <row r="29" spans="1:42" s="14420" customFormat="1" ht="18.75" customHeight="1">
      <c r="A29" s="1245"/>
      <c r="B29" s="1245"/>
      <c r="C29" s="1245"/>
      <c r="D29" s="1245"/>
      <c r="E29" s="1245"/>
      <c r="F29" s="1245"/>
      <c r="G29" s="1245"/>
      <c r="H29" s="1245"/>
      <c r="I29" s="1245"/>
      <c r="J29" s="1245"/>
      <c r="K29" s="1245"/>
      <c r="L29" s="1246"/>
      <c r="M29" s="1245"/>
      <c r="N29" s="1245"/>
      <c r="O29" s="1245"/>
      <c r="S29" s="16116" t="s">
        <v>559</v>
      </c>
      <c r="T29" s="16116"/>
      <c r="U29" s="1249"/>
      <c r="V29" s="16117" t="str">
        <f>IF(TITLE_NUMBER_PR_CHANGE="",IF(TITLE_NUMBER_PR="","",TITLE_NUMBER_PR),TITLE_NUMBER_PR_CHANGE)</f>
        <v>8/6</v>
      </c>
      <c r="W29" s="16117"/>
      <c r="X29" s="16117"/>
      <c r="Y29" s="16117"/>
      <c r="Z29" s="16117"/>
      <c r="AA29" s="16117"/>
      <c r="AB29" s="243"/>
      <c r="AC29" s="16117" t="str">
        <f>IF(TITLE_NUMBER_PR_CHANGE="",IF(TITLE_NUMBER_PR="","",TITLE_NUMBER_PR),TITLE_NUMBER_PR_CHANGE)</f>
        <v>8/6</v>
      </c>
      <c r="AD29" s="16117"/>
      <c r="AE29" s="16117"/>
      <c r="AF29" s="16117"/>
      <c r="AG29" s="16117"/>
      <c r="AH29" s="16117"/>
      <c r="AI29" s="243"/>
      <c r="AJ29" s="243"/>
      <c r="AK29" s="198"/>
      <c r="AL29" s="283"/>
      <c r="AM29" s="283"/>
      <c r="AN29" s="283"/>
      <c r="AO29" s="283"/>
      <c r="AP29" s="283"/>
    </row>
    <row r="30" spans="1:42" s="14420" customFormat="1" ht="18.75" customHeight="1">
      <c r="A30" s="1245"/>
      <c r="B30" s="1245"/>
      <c r="C30" s="1245"/>
      <c r="D30" s="1245"/>
      <c r="E30" s="1245"/>
      <c r="F30" s="1245"/>
      <c r="G30" s="1245"/>
      <c r="H30" s="1245"/>
      <c r="I30" s="1245"/>
      <c r="J30" s="1245"/>
      <c r="K30" s="1245"/>
      <c r="L30" s="1246"/>
      <c r="M30" s="1245"/>
      <c r="N30" s="1245"/>
      <c r="O30" s="1245"/>
      <c r="S30" s="16116" t="s">
        <v>40</v>
      </c>
      <c r="T30" s="16116"/>
      <c r="U30" s="1249"/>
      <c r="V30" s="16117" t="str">
        <f>IF(TITLE_IST_PUB_CHANGE="",IF(TITLE_IST_PUB="","",TITLE_IST_PUB),TITLE_IST_PUB_CHANGE)</f>
        <v>https://npa.gov-murman.ru/bitrix/components/b1team/govmurman.element.file/download.php?ID=518761&amp;FID=765125</v>
      </c>
      <c r="W30" s="16117"/>
      <c r="X30" s="16117"/>
      <c r="Y30" s="16117"/>
      <c r="Z30" s="16117"/>
      <c r="AA30" s="16117"/>
      <c r="AB30" s="243"/>
      <c r="AC30" s="16117" t="str">
        <f>IF(TITLE_IST_PUB_CHANGE="",IF(TITLE_IST_PUB="","",TITLE_IST_PUB),TITLE_IST_PUB_CHANGE)</f>
        <v>https://npa.gov-murman.ru/bitrix/components/b1team/govmurman.element.file/download.php?ID=518761&amp;FID=765125</v>
      </c>
      <c r="AD30" s="16117"/>
      <c r="AE30" s="16117"/>
      <c r="AF30" s="16117"/>
      <c r="AG30" s="16117"/>
      <c r="AH30" s="16117"/>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4420" customFormat="1" ht="18.75" hidden="1" customHeight="1">
      <c r="A32" s="1245"/>
      <c r="B32" s="1245"/>
      <c r="C32" s="1245"/>
      <c r="D32" s="1245"/>
      <c r="E32" s="1245"/>
      <c r="F32" s="1245"/>
      <c r="G32" s="1245"/>
      <c r="H32" s="1245"/>
      <c r="I32" s="1245"/>
      <c r="J32" s="1245"/>
      <c r="K32" s="1245"/>
      <c r="L32" s="1246"/>
      <c r="M32" s="1245"/>
      <c r="N32" s="1245"/>
      <c r="O32" s="1245"/>
      <c r="S32" s="16116" t="s">
        <v>560</v>
      </c>
      <c r="T32" s="16116"/>
      <c r="U32" s="1249"/>
      <c r="V32" s="16126">
        <f>IF(TITLE_DATE_PR_CHANGE="",IF(TITLE_DATE_PR="","",TITLE_DATE_PR),TITLE_DATE_PR_CHANGE)</f>
        <v>45379</v>
      </c>
      <c r="W32" s="16126"/>
      <c r="X32" s="16126"/>
      <c r="Y32" s="16126"/>
      <c r="Z32" s="16126"/>
      <c r="AA32" s="16126"/>
      <c r="AB32" s="243"/>
      <c r="AC32" s="16126">
        <f>IF(TITLE_DATE_PR_CHANGE="",IF(TITLE_DATE_PR="","",TITLE_DATE_PR),TITLE_DATE_PR_CHANGE)</f>
        <v>45379</v>
      </c>
      <c r="AD32" s="16126"/>
      <c r="AE32" s="16126"/>
      <c r="AF32" s="16126"/>
      <c r="AG32" s="16126"/>
      <c r="AH32" s="16126"/>
      <c r="AI32" s="243"/>
      <c r="AJ32" s="243"/>
      <c r="AK32" s="198"/>
      <c r="AL32" s="283"/>
      <c r="AM32" s="283"/>
      <c r="AN32" s="283"/>
      <c r="AO32" s="283"/>
      <c r="AP32" s="283"/>
    </row>
    <row r="33" spans="1:42" s="14420" customFormat="1" ht="18.75" hidden="1" customHeight="1">
      <c r="A33" s="1245"/>
      <c r="B33" s="1245"/>
      <c r="C33" s="1245"/>
      <c r="D33" s="1245"/>
      <c r="E33" s="1245"/>
      <c r="F33" s="1245"/>
      <c r="G33" s="1245"/>
      <c r="H33" s="1245"/>
      <c r="I33" s="1245"/>
      <c r="J33" s="1245"/>
      <c r="K33" s="1245"/>
      <c r="L33" s="1246"/>
      <c r="M33" s="1245"/>
      <c r="N33" s="1245"/>
      <c r="O33" s="1245"/>
      <c r="S33" s="16116" t="s">
        <v>561</v>
      </c>
      <c r="T33" s="16116"/>
      <c r="U33" s="1249"/>
      <c r="V33" s="16117" t="str">
        <f>IF(TITLE_NUMBER_PR_CHANGE="",IF(TITLE_NUMBER_PR="","",TITLE_NUMBER_PR),TITLE_NUMBER_PR_CHANGE)</f>
        <v>8/6</v>
      </c>
      <c r="W33" s="16117"/>
      <c r="X33" s="16117"/>
      <c r="Y33" s="16117"/>
      <c r="Z33" s="16117"/>
      <c r="AA33" s="16117"/>
      <c r="AB33" s="243"/>
      <c r="AC33" s="16117" t="str">
        <f>IF(TITLE_NUMBER_PR_CHANGE="",IF(TITLE_NUMBER_PR="","",TITLE_NUMBER_PR),TITLE_NUMBER_PR_CHANGE)</f>
        <v>8/6</v>
      </c>
      <c r="AD33" s="16117"/>
      <c r="AE33" s="16117"/>
      <c r="AF33" s="16117"/>
      <c r="AG33" s="16117"/>
      <c r="AH33" s="16117"/>
      <c r="AI33" s="243"/>
      <c r="AJ33" s="243"/>
      <c r="AK33" s="198"/>
      <c r="AL33" s="283"/>
      <c r="AM33" s="283"/>
      <c r="AN33" s="283"/>
      <c r="AO33" s="283"/>
      <c r="AP33" s="283"/>
    </row>
    <row r="34" spans="1:42" s="14420" customFormat="1" ht="0.75" customHeight="1">
      <c r="A34" s="1245"/>
      <c r="B34" s="1245"/>
      <c r="C34" s="1245"/>
      <c r="D34" s="1245"/>
      <c r="E34" s="1245"/>
      <c r="F34" s="1245"/>
      <c r="G34" s="1245"/>
      <c r="H34" s="1245"/>
      <c r="I34" s="1245"/>
      <c r="J34" s="1245"/>
      <c r="K34" s="1245"/>
      <c r="L34" s="1246"/>
      <c r="M34" s="1245"/>
      <c r="N34" s="1245"/>
      <c r="O34" s="1245"/>
      <c r="S34" s="240"/>
      <c r="T34" s="240"/>
      <c r="U34" s="1328"/>
      <c r="V34" s="243"/>
      <c r="W34" s="243"/>
      <c r="X34" s="243"/>
      <c r="Y34" s="243"/>
      <c r="Z34" s="243"/>
      <c r="AA34" s="243"/>
      <c r="AB34" s="196" t="s">
        <v>562</v>
      </c>
      <c r="AC34" s="243"/>
      <c r="AD34" s="243"/>
      <c r="AE34" s="243"/>
      <c r="AF34" s="243"/>
      <c r="AG34" s="243"/>
      <c r="AH34" s="243"/>
      <c r="AI34" s="196" t="s">
        <v>562</v>
      </c>
      <c r="AL34" s="283"/>
      <c r="AM34" s="283"/>
      <c r="AN34" s="283"/>
      <c r="AO34" s="283"/>
      <c r="AP34" s="283"/>
    </row>
    <row r="35" spans="1:42" ht="14.25" customHeight="1">
      <c r="Q35" s="291"/>
      <c r="R35" s="291"/>
      <c r="S35" s="1157"/>
      <c r="T35" s="279"/>
      <c r="U35" s="1126"/>
      <c r="V35" s="16118"/>
      <c r="W35" s="16118"/>
      <c r="X35" s="16118"/>
      <c r="Y35" s="16118"/>
      <c r="Z35" s="16118"/>
      <c r="AA35" s="16118"/>
      <c r="AB35" s="16118"/>
      <c r="AC35" s="16118"/>
      <c r="AD35" s="16118"/>
      <c r="AE35" s="16118"/>
      <c r="AF35" s="16118"/>
      <c r="AG35" s="16118"/>
      <c r="AH35" s="16118"/>
      <c r="AI35" s="16118"/>
    </row>
    <row r="36" spans="1:42" ht="14.25" customHeight="1">
      <c r="Q36" s="291"/>
      <c r="R36" s="291"/>
      <c r="S36" s="15992" t="s">
        <v>437</v>
      </c>
      <c r="T36" s="15992"/>
      <c r="U36" s="15992"/>
      <c r="V36" s="15992"/>
      <c r="W36" s="15992"/>
      <c r="X36" s="15992"/>
      <c r="Y36" s="15992"/>
      <c r="Z36" s="15992"/>
      <c r="AA36" s="15992"/>
      <c r="AB36" s="15992"/>
      <c r="AC36" s="15992"/>
      <c r="AD36" s="15992"/>
      <c r="AE36" s="15992"/>
      <c r="AF36" s="15992"/>
      <c r="AG36" s="15992"/>
      <c r="AH36" s="15992"/>
      <c r="AI36" s="15992"/>
      <c r="AJ36" s="15992"/>
      <c r="AK36" s="15992" t="s">
        <v>438</v>
      </c>
    </row>
    <row r="37" spans="1:42" ht="14.25" customHeight="1">
      <c r="Q37" s="291"/>
      <c r="R37" s="291"/>
      <c r="S37" s="16132" t="s">
        <v>87</v>
      </c>
      <c r="T37" s="16084" t="s">
        <v>563</v>
      </c>
      <c r="U37" s="218"/>
      <c r="V37" s="16133" t="s">
        <v>564</v>
      </c>
      <c r="W37" s="16134"/>
      <c r="X37" s="16134"/>
      <c r="Y37" s="16134"/>
      <c r="Z37" s="16134"/>
      <c r="AA37" s="16135"/>
      <c r="AB37" s="16136" t="s">
        <v>565</v>
      </c>
      <c r="AC37" s="16133" t="s">
        <v>564</v>
      </c>
      <c r="AD37" s="16134"/>
      <c r="AE37" s="16134"/>
      <c r="AF37" s="16134"/>
      <c r="AG37" s="16134"/>
      <c r="AH37" s="16135"/>
      <c r="AI37" s="16136" t="s">
        <v>566</v>
      </c>
      <c r="AJ37" s="16139" t="s">
        <v>567</v>
      </c>
      <c r="AK37" s="15992"/>
    </row>
    <row r="38" spans="1:42" ht="33.75" customHeight="1">
      <c r="Q38" s="291"/>
      <c r="R38" s="291"/>
      <c r="S38" s="16132"/>
      <c r="T38" s="16084"/>
      <c r="U38" s="919"/>
      <c r="V38" s="1326" t="s">
        <v>624</v>
      </c>
      <c r="W38" s="15963" t="s">
        <v>570</v>
      </c>
      <c r="X38" s="15962"/>
      <c r="Y38" s="15963" t="s">
        <v>571</v>
      </c>
      <c r="Z38" s="15968"/>
      <c r="AA38" s="15962"/>
      <c r="AB38" s="16137"/>
      <c r="AC38" s="1326" t="s">
        <v>624</v>
      </c>
      <c r="AD38" s="15963" t="s">
        <v>570</v>
      </c>
      <c r="AE38" s="15962"/>
      <c r="AF38" s="15963" t="s">
        <v>571</v>
      </c>
      <c r="AG38" s="15968"/>
      <c r="AH38" s="15962"/>
      <c r="AI38" s="16137"/>
      <c r="AJ38" s="16140"/>
      <c r="AK38" s="15992"/>
    </row>
    <row r="39" spans="1:42" ht="33.75" customHeight="1">
      <c r="A39" s="1247"/>
      <c r="B39" s="1247" t="s">
        <v>170</v>
      </c>
      <c r="C39" s="1247" t="s">
        <v>171</v>
      </c>
      <c r="D39" s="1247" t="s">
        <v>172</v>
      </c>
      <c r="E39" s="1241" t="s">
        <v>572</v>
      </c>
      <c r="F39" s="1241" t="s">
        <v>573</v>
      </c>
      <c r="G39" s="1241" t="s">
        <v>574</v>
      </c>
      <c r="H39" s="1241"/>
      <c r="I39" s="1241" t="s">
        <v>625</v>
      </c>
      <c r="J39" s="1241" t="s">
        <v>577</v>
      </c>
      <c r="K39" s="1241" t="s">
        <v>626</v>
      </c>
      <c r="L39" s="1241" t="s">
        <v>553</v>
      </c>
      <c r="Q39" s="291"/>
      <c r="R39" s="291"/>
      <c r="S39" s="16132"/>
      <c r="T39" s="16084"/>
      <c r="U39" s="219"/>
      <c r="V39" s="1326" t="s">
        <v>627</v>
      </c>
      <c r="W39" s="1104" t="s">
        <v>628</v>
      </c>
      <c r="X39" s="1104" t="s">
        <v>629</v>
      </c>
      <c r="Y39" s="1329" t="s">
        <v>581</v>
      </c>
      <c r="Z39" s="16092" t="s">
        <v>582</v>
      </c>
      <c r="AA39" s="16094"/>
      <c r="AB39" s="16138"/>
      <c r="AC39" s="1326" t="s">
        <v>627</v>
      </c>
      <c r="AD39" s="1104" t="s">
        <v>628</v>
      </c>
      <c r="AE39" s="1104" t="s">
        <v>629</v>
      </c>
      <c r="AF39" s="1329" t="s">
        <v>581</v>
      </c>
      <c r="AG39" s="16092" t="s">
        <v>582</v>
      </c>
      <c r="AH39" s="16094"/>
      <c r="AI39" s="16138"/>
      <c r="AJ39" s="16141"/>
      <c r="AK39" s="15992"/>
    </row>
    <row r="40" spans="1:42" s="14405"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147</v>
      </c>
      <c r="T40" s="1137" t="s">
        <v>102</v>
      </c>
      <c r="U40" s="1127" t="str">
        <f ca="1">OFFSET(U40,0,-1)</f>
        <v>2</v>
      </c>
      <c r="V40" s="1325">
        <f ca="1">OFFSET(V40,0,-1)+1</f>
        <v>3</v>
      </c>
      <c r="W40" s="1325">
        <f ca="1">OFFSET(W40,0,-1)+1</f>
        <v>4</v>
      </c>
      <c r="X40" s="1325">
        <f ca="1">OFFSET(X40,0,-1)+1</f>
        <v>5</v>
      </c>
      <c r="Y40" s="1325">
        <f ca="1">OFFSET(Y40,0,-1)+1</f>
        <v>6</v>
      </c>
      <c r="Z40" s="16131">
        <f ca="1">OFFSET(Z40,0,-1)+1</f>
        <v>7</v>
      </c>
      <c r="AA40" s="16131"/>
      <c r="AB40" s="1325">
        <f ca="1">OFFSET(AB40,0,-2)+1</f>
        <v>8</v>
      </c>
      <c r="AC40" s="1325">
        <f ca="1">OFFSET(AC40,0,-1)+1</f>
        <v>9</v>
      </c>
      <c r="AD40" s="1325">
        <f ca="1">OFFSET(AD40,0,-1)+1</f>
        <v>10</v>
      </c>
      <c r="AE40" s="1325">
        <f ca="1">OFFSET(AE40,0,-1)+1</f>
        <v>11</v>
      </c>
      <c r="AF40" s="1325">
        <f ca="1">OFFSET(AF40,0,-1)+1</f>
        <v>12</v>
      </c>
      <c r="AG40" s="16131">
        <f ca="1">OFFSET(AG40,0,-1)+1</f>
        <v>13</v>
      </c>
      <c r="AH40" s="16131"/>
      <c r="AI40" s="1325">
        <f ca="1">OFFSET(AI40,0,-2)+1</f>
        <v>14</v>
      </c>
      <c r="AJ40" s="1127">
        <f ca="1">OFFSET(AJ40,0,-1)</f>
        <v>14</v>
      </c>
      <c r="AK40" s="1325">
        <f ca="1">OFFSET(AK40,0,-1)+1</f>
        <v>15</v>
      </c>
      <c r="AL40" s="418"/>
      <c r="AM40" s="418"/>
      <c r="AN40" s="418"/>
      <c r="AO40" s="418"/>
      <c r="AP40" s="418"/>
    </row>
    <row r="41" spans="1:42" ht="23.25" customHeight="1">
      <c r="A41" s="1240" t="s">
        <v>265</v>
      </c>
      <c r="B41" s="1240"/>
      <c r="C41" s="1240"/>
      <c r="D41" s="1240"/>
      <c r="E41" s="16124">
        <v>1</v>
      </c>
      <c r="F41" s="1240"/>
      <c r="G41" s="1240"/>
      <c r="H41" s="1240"/>
      <c r="I41" s="1240"/>
      <c r="J41" s="1240"/>
      <c r="K41" s="1240"/>
      <c r="L41" s="1241"/>
      <c r="M41" s="1242"/>
      <c r="N41" s="1242"/>
      <c r="O41" s="1242"/>
      <c r="P41" s="277"/>
      <c r="Q41" s="276"/>
      <c r="R41" s="271"/>
      <c r="S41" s="1331">
        <f>INDEX(PT_DIFFERENTIATION_NUM_NTAR,MATCH(A41,PT_DIFFERENTIATION_NTAR_ID,0))</f>
        <v>0</v>
      </c>
      <c r="T41" s="215" t="s">
        <v>158</v>
      </c>
      <c r="U41" s="217"/>
      <c r="V41" s="16110"/>
      <c r="W41" s="16111"/>
      <c r="X41" s="16111"/>
      <c r="Y41" s="16111"/>
      <c r="Z41" s="16111"/>
      <c r="AA41" s="16111"/>
      <c r="AB41" s="16112"/>
      <c r="AC41" s="16110" t="str">
        <f>INDEX(PT_DIFFERENTIATION_NTAR,MATCH(A41,PT_DIFFERENTIATION_NTAR_ID,0))</f>
        <v/>
      </c>
      <c r="AD41" s="16111"/>
      <c r="AE41" s="16111"/>
      <c r="AF41" s="16111"/>
      <c r="AG41" s="16111"/>
      <c r="AH41" s="16111"/>
      <c r="AI41" s="16111"/>
      <c r="AJ41" s="16112"/>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265</v>
      </c>
      <c r="B42" s="1240" t="s">
        <v>266</v>
      </c>
      <c r="C42" s="1240"/>
      <c r="D42" s="1240"/>
      <c r="E42" s="16125"/>
      <c r="F42" s="16124">
        <v>1</v>
      </c>
      <c r="G42" s="1240"/>
      <c r="H42" s="1240"/>
      <c r="I42" s="1240"/>
      <c r="J42" s="1240"/>
      <c r="K42" s="1240"/>
      <c r="L42" s="1241"/>
      <c r="M42" s="1242"/>
      <c r="N42" s="1242"/>
      <c r="O42" s="1242"/>
      <c r="P42" s="1327"/>
      <c r="Q42" s="268"/>
      <c r="R42" s="269"/>
      <c r="S42" s="1331" t="str">
        <f>INDEX(PT_DIFFERENTIATION_NUM_TER,MATCH(B42,PT_DIFFERENTIATION_TER_ID,0))</f>
        <v>.</v>
      </c>
      <c r="T42" s="225" t="s">
        <v>534</v>
      </c>
      <c r="U42" s="217"/>
      <c r="V42" s="16110"/>
      <c r="W42" s="16111"/>
      <c r="X42" s="16111"/>
      <c r="Y42" s="16111"/>
      <c r="Z42" s="16111"/>
      <c r="AA42" s="16111"/>
      <c r="AB42" s="16112"/>
      <c r="AC42" s="16110" t="str">
        <f>INDEX(PT_DIFFERENTIATION_TER,MATCH(B42,PT_DIFFERENTIATION_TER_ID,0))</f>
        <v/>
      </c>
      <c r="AD42" s="16111"/>
      <c r="AE42" s="16111"/>
      <c r="AF42" s="16111"/>
      <c r="AG42" s="16111"/>
      <c r="AH42" s="16111"/>
      <c r="AI42" s="16111"/>
      <c r="AJ42" s="16112"/>
      <c r="AK42" s="1140" t="s">
        <v>535</v>
      </c>
      <c r="AM42" s="407"/>
      <c r="AN42" s="407" t="str">
        <f t="shared" si="1"/>
        <v>Территория действия тарифа</v>
      </c>
      <c r="AO42" s="407"/>
      <c r="AP42" s="407"/>
    </row>
    <row r="43" spans="1:42" ht="23.25" customHeight="1">
      <c r="A43" s="1240" t="s">
        <v>265</v>
      </c>
      <c r="B43" s="1240" t="s">
        <v>266</v>
      </c>
      <c r="C43" s="1240" t="s">
        <v>267</v>
      </c>
      <c r="D43" s="1240"/>
      <c r="E43" s="16125"/>
      <c r="F43" s="16125"/>
      <c r="G43" s="16124">
        <v>1</v>
      </c>
      <c r="H43" s="1240"/>
      <c r="I43" s="1240"/>
      <c r="J43" s="1240"/>
      <c r="K43" s="1240"/>
      <c r="L43" s="1241"/>
      <c r="M43" s="1242"/>
      <c r="N43" s="1242"/>
      <c r="O43" s="1242"/>
      <c r="P43" s="270"/>
      <c r="Q43" s="268"/>
      <c r="R43" s="269"/>
      <c r="S43" s="1331" t="str">
        <f>INDEX(PT_DIFFERENTIATION_NUM_CS,MATCH(C43,PT_DIFFERENTIATION_CS_ID,0))</f>
        <v>..</v>
      </c>
      <c r="T43" s="226" t="s">
        <v>616</v>
      </c>
      <c r="U43" s="217"/>
      <c r="V43" s="16110"/>
      <c r="W43" s="16111"/>
      <c r="X43" s="16111"/>
      <c r="Y43" s="16111"/>
      <c r="Z43" s="16111"/>
      <c r="AA43" s="16111"/>
      <c r="AB43" s="16112"/>
      <c r="AC43" s="16110" t="str">
        <f>INDEX(PT_DIFFERENTIATION_CS,MATCH(C43,PT_DIFFERENTIATION_CS_ID,0))</f>
        <v/>
      </c>
      <c r="AD43" s="16111"/>
      <c r="AE43" s="16111"/>
      <c r="AF43" s="16111"/>
      <c r="AG43" s="16111"/>
      <c r="AH43" s="16111"/>
      <c r="AI43" s="16111"/>
      <c r="AJ43" s="16112"/>
      <c r="AK43" s="1140" t="s">
        <v>617</v>
      </c>
      <c r="AM43" s="407"/>
      <c r="AN43" s="407" t="str">
        <f t="shared" si="1"/>
        <v>Наименование централизованной системы холодного водоснабжения</v>
      </c>
      <c r="AO43" s="407"/>
      <c r="AP43" s="407"/>
    </row>
    <row r="44" spans="1:42" ht="23.25" customHeight="1">
      <c r="A44" s="1240" t="s">
        <v>265</v>
      </c>
      <c r="B44" s="1240" t="s">
        <v>266</v>
      </c>
      <c r="C44" s="1240" t="s">
        <v>267</v>
      </c>
      <c r="D44" s="1240" t="s">
        <v>632</v>
      </c>
      <c r="E44" s="16125"/>
      <c r="F44" s="16125"/>
      <c r="G44" s="16125"/>
      <c r="H44" s="16125"/>
      <c r="I44" s="16122" t="str">
        <f>S43&amp;".1"</f>
        <v>...1</v>
      </c>
      <c r="J44" s="1240"/>
      <c r="K44" s="1240"/>
      <c r="L44" s="1241"/>
      <c r="P44" s="16123">
        <v>1</v>
      </c>
      <c r="Q44" s="1324"/>
      <c r="R44" s="272"/>
      <c r="S44" s="1331" t="str">
        <f>$I44</f>
        <v>...1</v>
      </c>
      <c r="T44" s="202" t="s">
        <v>618</v>
      </c>
      <c r="U44" s="217"/>
      <c r="V44" s="16183"/>
      <c r="W44" s="16184"/>
      <c r="X44" s="16184"/>
      <c r="Y44" s="16184"/>
      <c r="Z44" s="16184"/>
      <c r="AA44" s="16184"/>
      <c r="AB44" s="16185"/>
      <c r="AC44" s="16186"/>
      <c r="AD44" s="16187"/>
      <c r="AE44" s="16187"/>
      <c r="AF44" s="16187"/>
      <c r="AG44" s="16187"/>
      <c r="AH44" s="16187"/>
      <c r="AI44" s="16187"/>
      <c r="AJ44" s="16188"/>
      <c r="AK44" s="1140" t="s">
        <v>619</v>
      </c>
      <c r="AM44" s="407"/>
      <c r="AN44" s="407" t="str">
        <f t="shared" si="1"/>
        <v>Наименование признака дифференциации</v>
      </c>
      <c r="AO44" s="407"/>
      <c r="AP44" s="407"/>
    </row>
    <row r="45" spans="1:42" ht="23.25" customHeight="1">
      <c r="A45" s="1240" t="s">
        <v>265</v>
      </c>
      <c r="B45" s="1240" t="s">
        <v>266</v>
      </c>
      <c r="C45" s="1240" t="s">
        <v>267</v>
      </c>
      <c r="D45" s="1240" t="s">
        <v>632</v>
      </c>
      <c r="E45" s="16125"/>
      <c r="F45" s="16125"/>
      <c r="G45" s="16125"/>
      <c r="H45" s="16125"/>
      <c r="I45" s="16145"/>
      <c r="J45" s="16122" t="str">
        <f>I44&amp;".1"</f>
        <v>...1.1</v>
      </c>
      <c r="K45" s="1240"/>
      <c r="L45" s="1241" t="s">
        <v>543</v>
      </c>
      <c r="P45" s="16123"/>
      <c r="Q45" s="16123">
        <v>1</v>
      </c>
      <c r="R45" s="273"/>
      <c r="S45" s="1331" t="str">
        <f>$J45</f>
        <v>...1.1</v>
      </c>
      <c r="T45" s="203" t="s">
        <v>544</v>
      </c>
      <c r="U45" s="217"/>
      <c r="V45" s="16113"/>
      <c r="W45" s="16114"/>
      <c r="X45" s="16114"/>
      <c r="Y45" s="16114"/>
      <c r="Z45" s="16114"/>
      <c r="AA45" s="16114"/>
      <c r="AB45" s="16115"/>
      <c r="AC45" s="16113"/>
      <c r="AD45" s="16114"/>
      <c r="AE45" s="16114"/>
      <c r="AF45" s="16114"/>
      <c r="AG45" s="16114"/>
      <c r="AH45" s="16114"/>
      <c r="AI45" s="16114"/>
      <c r="AJ45" s="16115"/>
      <c r="AK45" s="1187" t="s">
        <v>620</v>
      </c>
      <c r="AM45" s="407"/>
      <c r="AN45" s="407" t="str">
        <f t="shared" si="1"/>
        <v>Группа потребителей</v>
      </c>
      <c r="AO45" s="407"/>
      <c r="AP45" s="407"/>
    </row>
    <row r="46" spans="1:42" ht="23.25" customHeight="1">
      <c r="A46" s="1240" t="s">
        <v>265</v>
      </c>
      <c r="B46" s="1240" t="s">
        <v>266</v>
      </c>
      <c r="C46" s="1240" t="s">
        <v>267</v>
      </c>
      <c r="D46" s="1240" t="s">
        <v>632</v>
      </c>
      <c r="E46" s="16125"/>
      <c r="F46" s="16125"/>
      <c r="G46" s="16125"/>
      <c r="H46" s="16125"/>
      <c r="I46" s="16145"/>
      <c r="J46" s="16145"/>
      <c r="K46" s="16122" t="str">
        <f>J45&amp;".1"</f>
        <v>...1.1.1</v>
      </c>
      <c r="L46" s="1241"/>
      <c r="P46" s="16123"/>
      <c r="Q46" s="16123"/>
      <c r="R46" s="273">
        <v>1</v>
      </c>
      <c r="S46" s="1331" t="str">
        <f>$K46</f>
        <v>...1.1.1</v>
      </c>
      <c r="T46" s="1313"/>
      <c r="U46" s="217"/>
      <c r="V46" s="649"/>
      <c r="W46" s="649"/>
      <c r="X46" s="1139"/>
      <c r="Y46" s="16127"/>
      <c r="Z46" s="15973" t="s">
        <v>66</v>
      </c>
      <c r="AA46" s="16127"/>
      <c r="AB46" s="15973" t="s">
        <v>66</v>
      </c>
      <c r="AC46" s="649"/>
      <c r="AD46" s="649"/>
      <c r="AE46" s="1139"/>
      <c r="AF46" s="16127"/>
      <c r="AG46" s="15973" t="s">
        <v>66</v>
      </c>
      <c r="AH46" s="16146"/>
      <c r="AI46" s="15973" t="s">
        <v>66</v>
      </c>
      <c r="AJ46" s="1314"/>
      <c r="AK46"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265</v>
      </c>
      <c r="B47" s="1240" t="s">
        <v>266</v>
      </c>
      <c r="C47" s="1240" t="s">
        <v>267</v>
      </c>
      <c r="D47" s="1240" t="s">
        <v>632</v>
      </c>
      <c r="E47" s="16125"/>
      <c r="F47" s="16125"/>
      <c r="G47" s="16125"/>
      <c r="H47" s="16125"/>
      <c r="I47" s="16145"/>
      <c r="J47" s="16145"/>
      <c r="K47" s="16122"/>
      <c r="L47" s="1241"/>
      <c r="P47" s="16123"/>
      <c r="Q47" s="16123"/>
      <c r="R47" s="273"/>
      <c r="S47" s="1330"/>
      <c r="T47" s="217"/>
      <c r="U47" s="217"/>
      <c r="V47" s="242"/>
      <c r="W47" s="242"/>
      <c r="X47" s="245" t="str">
        <f>Y46&amp;"-"&amp;AA46</f>
        <v>-</v>
      </c>
      <c r="Y47" s="16128"/>
      <c r="Z47" s="15973"/>
      <c r="AA47" s="16128"/>
      <c r="AB47" s="15973"/>
      <c r="AC47" s="242"/>
      <c r="AD47" s="242"/>
      <c r="AE47" s="245" t="str">
        <f>AF46&amp;"-"&amp;AH46</f>
        <v>-</v>
      </c>
      <c r="AF47" s="16128"/>
      <c r="AG47" s="15973"/>
      <c r="AH47" s="16147"/>
      <c r="AI47" s="15973"/>
      <c r="AJ47" s="1315"/>
      <c r="AK47" s="16182"/>
      <c r="AM47" s="407"/>
      <c r="AN47" s="407" t="str">
        <f t="shared" si="1"/>
        <v/>
      </c>
      <c r="AO47" s="407"/>
      <c r="AP47" s="407"/>
    </row>
    <row r="48" spans="1:42" ht="21" customHeight="1">
      <c r="A48" s="1240" t="s">
        <v>265</v>
      </c>
      <c r="B48" s="1240" t="s">
        <v>266</v>
      </c>
      <c r="C48" s="1240" t="s">
        <v>267</v>
      </c>
      <c r="D48" s="1240" t="s">
        <v>632</v>
      </c>
      <c r="E48" s="16125"/>
      <c r="F48" s="16125"/>
      <c r="G48" s="16125"/>
      <c r="H48" s="16125"/>
      <c r="I48" s="16145"/>
      <c r="J48" s="16122"/>
      <c r="K48" s="1240"/>
      <c r="L48" s="1241"/>
      <c r="P48" s="16123"/>
      <c r="Q48" s="16123"/>
      <c r="R48" s="272"/>
      <c r="S48" s="1160"/>
      <c r="T48" s="204" t="s">
        <v>621</v>
      </c>
      <c r="U48" s="282"/>
      <c r="V48" s="282"/>
      <c r="W48" s="282"/>
      <c r="X48" s="282"/>
      <c r="Y48" s="282"/>
      <c r="Z48" s="282"/>
      <c r="AA48" s="282"/>
      <c r="AB48" s="282"/>
      <c r="AC48" s="282"/>
      <c r="AD48" s="282"/>
      <c r="AE48" s="282"/>
      <c r="AF48" s="282"/>
      <c r="AG48" s="282"/>
      <c r="AH48" s="282"/>
      <c r="AI48" s="282"/>
      <c r="AJ48" s="282"/>
      <c r="AK48" s="1140" t="s">
        <v>622</v>
      </c>
      <c r="AM48" s="407"/>
      <c r="AN48" s="407" t="str">
        <f t="shared" si="1"/>
        <v>Добавить значение признака дифференциации</v>
      </c>
      <c r="AO48" s="407"/>
      <c r="AP48" s="407"/>
    </row>
    <row r="49" spans="1:42" ht="21" customHeight="1">
      <c r="A49" s="1240" t="s">
        <v>265</v>
      </c>
      <c r="B49" s="1240" t="s">
        <v>266</v>
      </c>
      <c r="C49" s="1240" t="s">
        <v>267</v>
      </c>
      <c r="D49" s="1240" t="s">
        <v>632</v>
      </c>
      <c r="E49" s="16125"/>
      <c r="F49" s="16125"/>
      <c r="G49" s="16125"/>
      <c r="H49" s="16125"/>
      <c r="I49" s="16122"/>
      <c r="J49" s="1240"/>
      <c r="K49" s="1240"/>
      <c r="L49" s="1241"/>
      <c r="P49" s="16123"/>
      <c r="Q49" s="1324"/>
      <c r="R49" s="272"/>
      <c r="S49" s="1160"/>
      <c r="T49" s="280" t="s">
        <v>549</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265</v>
      </c>
      <c r="B50" s="1240" t="s">
        <v>266</v>
      </c>
      <c r="C50" s="1240" t="s">
        <v>267</v>
      </c>
      <c r="D50" s="1240" t="s">
        <v>632</v>
      </c>
      <c r="E50" s="16125"/>
      <c r="F50" s="16125"/>
      <c r="G50" s="16125"/>
      <c r="H50" s="16124"/>
      <c r="I50" s="1240"/>
      <c r="J50" s="1240"/>
      <c r="K50" s="1240"/>
      <c r="L50" s="1241"/>
      <c r="M50" s="1242"/>
      <c r="N50" s="1242"/>
      <c r="O50" s="443"/>
      <c r="P50" s="276"/>
      <c r="Q50" s="290"/>
      <c r="R50" s="271"/>
      <c r="S50" s="1160"/>
      <c r="T50" s="287" t="s">
        <v>623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4418" customFormat="1" ht="0" hidden="1" customHeight="1">
      <c r="A51" s="1221" t="s">
        <v>265</v>
      </c>
      <c r="B51" s="1221" t="s">
        <v>266</v>
      </c>
      <c r="C51" s="1193"/>
      <c r="D51" s="1193"/>
      <c r="E51" s="16125"/>
      <c r="F51" s="16124"/>
      <c r="G51" s="1193"/>
      <c r="H51" s="1193"/>
      <c r="I51" s="1193"/>
      <c r="J51" s="1193"/>
      <c r="K51" s="1193"/>
      <c r="L51" s="1332"/>
      <c r="M51" s="1200"/>
      <c r="N51" s="1200"/>
      <c r="P51" s="1195"/>
      <c r="Q51" s="1196"/>
      <c r="R51" s="1195"/>
      <c r="S51" s="1201"/>
      <c r="T51" s="1204" t="s">
        <v>290</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4421" customFormat="1" ht="0" hidden="1" customHeight="1">
      <c r="A52" s="1221" t="s">
        <v>265</v>
      </c>
      <c r="B52" s="1221"/>
      <c r="C52" s="1221"/>
      <c r="D52" s="1221"/>
      <c r="E52" s="16124"/>
      <c r="F52" s="1221"/>
      <c r="G52" s="1221"/>
      <c r="H52" s="1221"/>
      <c r="I52" s="1221"/>
      <c r="J52" s="1221"/>
      <c r="K52" s="1221"/>
      <c r="L52" s="1224"/>
      <c r="M52" s="1200"/>
      <c r="N52" s="1200"/>
      <c r="O52" s="425"/>
      <c r="P52" s="295"/>
      <c r="Q52" s="1222"/>
      <c r="R52" s="295"/>
      <c r="S52" s="1201"/>
      <c r="T52" s="1204" t="s">
        <v>326</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4418" customFormat="1" ht="0" hidden="1" customHeight="1">
      <c r="A53" s="1193"/>
      <c r="B53" s="1193"/>
      <c r="C53" s="1193"/>
      <c r="D53" s="1193"/>
      <c r="E53" s="1221"/>
      <c r="F53" s="1193"/>
      <c r="G53" s="1193"/>
      <c r="H53" s="1193"/>
      <c r="I53" s="1193"/>
      <c r="J53" s="1193"/>
      <c r="K53" s="1193"/>
      <c r="L53" s="1332"/>
      <c r="M53" s="1200"/>
      <c r="N53" s="1200"/>
      <c r="P53" s="1195"/>
      <c r="Q53" s="1196"/>
      <c r="R53" s="1195"/>
      <c r="S53" s="1201"/>
      <c r="T53" s="1204" t="s">
        <v>390</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16144"/>
      <c r="U55" s="16144"/>
      <c r="V55" s="16144"/>
      <c r="W55" s="16144"/>
      <c r="X55" s="16144"/>
      <c r="Y55" s="16144"/>
      <c r="Z55" s="16144"/>
      <c r="AA55" s="16144"/>
      <c r="AB55" s="16144"/>
      <c r="AC55" s="16144"/>
      <c r="AD55" s="16144"/>
      <c r="AE55" s="16144"/>
      <c r="AF55" s="16144"/>
      <c r="AG55" s="16144"/>
      <c r="AH55" s="16144"/>
      <c r="AI55" s="16144"/>
      <c r="AJ55" s="16144"/>
      <c r="AK55" s="16144"/>
    </row>
    <row r="56" spans="1:42" ht="14.25" customHeight="1">
      <c r="O56" s="443"/>
    </row>
    <row r="57" spans="1:42" ht="14.25" customHeight="1">
      <c r="O57" s="443"/>
      <c r="S57" s="1135"/>
      <c r="T57" s="16144"/>
      <c r="U57" s="16144"/>
      <c r="V57" s="16144"/>
      <c r="W57" s="16144"/>
      <c r="X57" s="16144"/>
      <c r="Y57" s="16144"/>
      <c r="Z57" s="16144"/>
      <c r="AA57" s="16144"/>
      <c r="AB57" s="16144"/>
      <c r="AC57" s="16144"/>
      <c r="AD57" s="16144"/>
      <c r="AE57" s="16144"/>
      <c r="AF57" s="16144"/>
      <c r="AG57" s="16144"/>
      <c r="AH57" s="16144"/>
      <c r="AI57" s="16144"/>
      <c r="AJ57" s="16144"/>
      <c r="AK57" s="1614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4.140625" style="14419" hidden="1" customWidth="1"/>
    <col min="10" max="10" width="9.85546875" style="14419" hidden="1" customWidth="1"/>
    <col min="11" max="11" width="14.7109375" style="14419" hidden="1" customWidth="1"/>
    <col min="12" max="12" width="19.140625" style="14442" hidden="1" customWidth="1"/>
    <col min="13" max="14" width="12.28515625" style="14423" hidden="1" customWidth="1"/>
    <col min="15" max="15" width="23.42578125" style="14423" hidden="1" customWidth="1"/>
    <col min="16" max="16" width="3.7109375" style="14443" customWidth="1"/>
    <col min="17" max="18" width="3.7109375" style="14425" customWidth="1"/>
    <col min="19" max="19" width="12.7109375" style="14426" customWidth="1"/>
    <col min="20" max="20" width="35.7109375" style="14427" customWidth="1"/>
    <col min="21" max="21" width="0.140625" style="14427" customWidth="1"/>
    <col min="22" max="24" width="24.7109375" style="14427" hidden="1" customWidth="1"/>
    <col min="25" max="25" width="11.7109375" style="14427" hidden="1" customWidth="1"/>
    <col min="26" max="26" width="3.7109375" style="14427" hidden="1" customWidth="1"/>
    <col min="27" max="27" width="11.7109375" style="14427" hidden="1" customWidth="1"/>
    <col min="28" max="28" width="8.5703125" style="14427" hidden="1" customWidth="1"/>
    <col min="29" max="31" width="24.7109375" style="14427" customWidth="1"/>
    <col min="32" max="32" width="11.7109375" style="14427" customWidth="1"/>
    <col min="33" max="33" width="3.7109375" style="14427" customWidth="1"/>
    <col min="34" max="34" width="11.7109375" style="14427" customWidth="1"/>
    <col min="35" max="35" width="8.5703125" style="14427" hidden="1" customWidth="1"/>
    <col min="36" max="36" width="4.7109375" style="14427" customWidth="1"/>
    <col min="37" max="37" width="115.7109375" style="14427" customWidth="1"/>
    <col min="38" max="39" width="10.5703125" style="14421"/>
    <col min="40" max="40" width="11.140625" style="14421" customWidth="1"/>
    <col min="41" max="42" width="10.5703125" style="14421"/>
  </cols>
  <sheetData>
    <row r="1" spans="1:42" ht="14.25" hidden="1" customHeight="1">
      <c r="X1" s="244"/>
      <c r="Y1" s="244"/>
      <c r="AE1" s="244"/>
      <c r="AF1" s="244"/>
    </row>
    <row r="2" spans="1:42" ht="23.25" hidden="1" customHeight="1">
      <c r="A2" s="1240"/>
      <c r="B2" s="1240"/>
      <c r="C2" s="1240"/>
      <c r="D2" s="1240"/>
      <c r="E2" s="16124">
        <v>1</v>
      </c>
      <c r="F2" s="1240"/>
      <c r="G2" s="1240"/>
      <c r="H2" s="1240"/>
      <c r="I2" s="1240"/>
      <c r="J2" s="1240"/>
      <c r="K2" s="1240"/>
      <c r="L2" s="1241"/>
      <c r="M2" s="1242"/>
      <c r="N2" s="1242"/>
      <c r="O2" s="1242"/>
      <c r="P2" s="277"/>
      <c r="Q2" s="276"/>
      <c r="R2" s="271"/>
      <c r="S2" s="1331" t="e">
        <f>INDEX(PT_DIFFERENTIATION_NUM_NTAR,MATCH(A2,PT_DIFFERENTIATION_NTAR_ID,0))</f>
        <v>#N/A</v>
      </c>
      <c r="T2" s="215" t="s">
        <v>158</v>
      </c>
      <c r="U2" s="217"/>
      <c r="V2" s="16110"/>
      <c r="W2" s="16111"/>
      <c r="X2" s="16111"/>
      <c r="Y2" s="16111"/>
      <c r="Z2" s="16111"/>
      <c r="AA2" s="16111"/>
      <c r="AB2" s="16112"/>
      <c r="AC2" s="16110" t="e">
        <f>INDEX(PT_DIFFERENTIATION_NTAR,MATCH(A2,PT_DIFFERENTIATION_NTAR_ID,0))</f>
        <v>#N/A</v>
      </c>
      <c r="AD2" s="16111"/>
      <c r="AE2" s="16111"/>
      <c r="AF2" s="16111"/>
      <c r="AG2" s="16111"/>
      <c r="AH2" s="16111"/>
      <c r="AI2" s="16111"/>
      <c r="AJ2" s="16112"/>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16125"/>
      <c r="F3" s="16124">
        <v>1</v>
      </c>
      <c r="G3" s="1240"/>
      <c r="H3" s="1240"/>
      <c r="I3" s="1240"/>
      <c r="J3" s="1240"/>
      <c r="K3" s="1240"/>
      <c r="L3" s="1241"/>
      <c r="M3" s="1242"/>
      <c r="N3" s="1242"/>
      <c r="O3" s="1242"/>
      <c r="P3" s="1327"/>
      <c r="Q3" s="268"/>
      <c r="R3" s="269"/>
      <c r="S3" s="1331" t="e">
        <f>INDEX(PT_DIFFERENTIATION_NUM_TER,MATCH(B3,PT_DIFFERENTIATION_TER_ID,0))</f>
        <v>#N/A</v>
      </c>
      <c r="T3" s="225" t="s">
        <v>534</v>
      </c>
      <c r="U3" s="217"/>
      <c r="V3" s="16110"/>
      <c r="W3" s="16111"/>
      <c r="X3" s="16111"/>
      <c r="Y3" s="16111"/>
      <c r="Z3" s="16111"/>
      <c r="AA3" s="16111"/>
      <c r="AB3" s="16112"/>
      <c r="AC3" s="16110" t="e">
        <f>INDEX(PT_DIFFERENTIATION_TER,MATCH(B3,PT_DIFFERENTIATION_TER_ID,0))</f>
        <v>#N/A</v>
      </c>
      <c r="AD3" s="16111"/>
      <c r="AE3" s="16111"/>
      <c r="AF3" s="16111"/>
      <c r="AG3" s="16111"/>
      <c r="AH3" s="16111"/>
      <c r="AI3" s="16111"/>
      <c r="AJ3" s="16112"/>
      <c r="AK3" s="1140" t="s">
        <v>535</v>
      </c>
      <c r="AM3" s="407"/>
      <c r="AN3" s="407" t="str">
        <f t="shared" si="0"/>
        <v>Территория действия тарифа</v>
      </c>
      <c r="AO3" s="407"/>
      <c r="AP3" s="407"/>
    </row>
    <row r="4" spans="1:42" ht="23.25" hidden="1" customHeight="1">
      <c r="A4" s="1240"/>
      <c r="B4" s="1240"/>
      <c r="C4" s="1240"/>
      <c r="D4" s="1240"/>
      <c r="E4" s="16125"/>
      <c r="F4" s="16125"/>
      <c r="G4" s="16124">
        <v>1</v>
      </c>
      <c r="H4" s="1240"/>
      <c r="I4" s="1240"/>
      <c r="J4" s="1240"/>
      <c r="K4" s="1240"/>
      <c r="L4" s="1241"/>
      <c r="M4" s="1242"/>
      <c r="N4" s="1242"/>
      <c r="O4" s="1242"/>
      <c r="P4" s="270"/>
      <c r="Q4" s="268"/>
      <c r="R4" s="269"/>
      <c r="S4" s="1331" t="e">
        <f>INDEX(PT_DIFFERENTIATION_NUM_CS,MATCH(C4,PT_DIFFERENTIATION_CS_ID,0))</f>
        <v>#N/A</v>
      </c>
      <c r="T4" s="226" t="s">
        <v>616</v>
      </c>
      <c r="U4" s="217"/>
      <c r="V4" s="16110"/>
      <c r="W4" s="16111"/>
      <c r="X4" s="16111"/>
      <c r="Y4" s="16111"/>
      <c r="Z4" s="16111"/>
      <c r="AA4" s="16111"/>
      <c r="AB4" s="16112"/>
      <c r="AC4" s="16110" t="e">
        <f>INDEX(PT_DIFFERENTIATION_CS,MATCH(C4,PT_DIFFERENTIATION_CS_ID,0))</f>
        <v>#N/A</v>
      </c>
      <c r="AD4" s="16111"/>
      <c r="AE4" s="16111"/>
      <c r="AF4" s="16111"/>
      <c r="AG4" s="16111"/>
      <c r="AH4" s="16111"/>
      <c r="AI4" s="16111"/>
      <c r="AJ4" s="16112"/>
      <c r="AK4" s="1140" t="s">
        <v>617</v>
      </c>
      <c r="AM4" s="407"/>
      <c r="AN4" s="407" t="str">
        <f t="shared" si="0"/>
        <v>Наименование централизованной системы холодного водоснабжения</v>
      </c>
      <c r="AO4" s="407"/>
      <c r="AP4" s="407"/>
    </row>
    <row r="5" spans="1:42" ht="23.25" hidden="1" customHeight="1">
      <c r="A5" s="1240"/>
      <c r="B5" s="1240"/>
      <c r="C5" s="1240"/>
      <c r="D5" s="1240"/>
      <c r="E5" s="16125"/>
      <c r="F5" s="16125"/>
      <c r="G5" s="16125"/>
      <c r="H5" s="16125"/>
      <c r="I5" s="16122" t="e">
        <f>S4&amp;".1"</f>
        <v>#N/A</v>
      </c>
      <c r="J5" s="1240"/>
      <c r="K5" s="1240"/>
      <c r="L5" s="1241"/>
      <c r="P5" s="16123">
        <v>1</v>
      </c>
      <c r="Q5" s="1324"/>
      <c r="R5" s="272"/>
      <c r="S5" s="1331" t="e">
        <f>$I5</f>
        <v>#N/A</v>
      </c>
      <c r="T5" s="202" t="s">
        <v>618</v>
      </c>
      <c r="U5" s="217"/>
      <c r="V5" s="16183"/>
      <c r="W5" s="16184"/>
      <c r="X5" s="16184"/>
      <c r="Y5" s="16184"/>
      <c r="Z5" s="16184"/>
      <c r="AA5" s="16184"/>
      <c r="AB5" s="16185"/>
      <c r="AC5" s="16186"/>
      <c r="AD5" s="16187"/>
      <c r="AE5" s="16187"/>
      <c r="AF5" s="16187"/>
      <c r="AG5" s="16187"/>
      <c r="AH5" s="16187"/>
      <c r="AI5" s="16187"/>
      <c r="AJ5" s="16188"/>
      <c r="AK5" s="1140" t="s">
        <v>619</v>
      </c>
      <c r="AM5" s="407"/>
      <c r="AN5" s="407" t="str">
        <f t="shared" si="0"/>
        <v>Наименование признака дифференциации</v>
      </c>
      <c r="AO5" s="407"/>
      <c r="AP5" s="407"/>
    </row>
    <row r="6" spans="1:42" ht="23.25" hidden="1" customHeight="1">
      <c r="A6" s="1240"/>
      <c r="B6" s="1240"/>
      <c r="C6" s="1240"/>
      <c r="D6" s="1240"/>
      <c r="E6" s="16125"/>
      <c r="F6" s="16125"/>
      <c r="G6" s="16125"/>
      <c r="H6" s="16125"/>
      <c r="I6" s="16145"/>
      <c r="J6" s="16122" t="e">
        <f>I5&amp;".1"</f>
        <v>#N/A</v>
      </c>
      <c r="K6" s="1240"/>
      <c r="L6" s="1241" t="s">
        <v>543</v>
      </c>
      <c r="P6" s="16123"/>
      <c r="Q6" s="16123">
        <v>1</v>
      </c>
      <c r="R6" s="273"/>
      <c r="S6" s="1331" t="e">
        <f>$J6</f>
        <v>#N/A</v>
      </c>
      <c r="T6" s="203" t="s">
        <v>544</v>
      </c>
      <c r="U6" s="217"/>
      <c r="V6" s="16113"/>
      <c r="W6" s="16114"/>
      <c r="X6" s="16114"/>
      <c r="Y6" s="16114"/>
      <c r="Z6" s="16114"/>
      <c r="AA6" s="16114"/>
      <c r="AB6" s="16115"/>
      <c r="AC6" s="16113"/>
      <c r="AD6" s="16114"/>
      <c r="AE6" s="16114"/>
      <c r="AF6" s="16114"/>
      <c r="AG6" s="16114"/>
      <c r="AH6" s="16114"/>
      <c r="AI6" s="16114"/>
      <c r="AJ6" s="16115"/>
      <c r="AK6" s="1187" t="s">
        <v>620</v>
      </c>
      <c r="AM6" s="407"/>
      <c r="AN6" s="407" t="str">
        <f t="shared" si="0"/>
        <v>Группа потребителей</v>
      </c>
      <c r="AO6" s="407"/>
      <c r="AP6" s="407"/>
    </row>
    <row r="7" spans="1:42" ht="23.25" hidden="1" customHeight="1">
      <c r="A7" s="1240"/>
      <c r="B7" s="1240"/>
      <c r="C7" s="1240"/>
      <c r="D7" s="1240"/>
      <c r="E7" s="16125"/>
      <c r="F7" s="16125"/>
      <c r="G7" s="16125"/>
      <c r="H7" s="16125"/>
      <c r="I7" s="16145"/>
      <c r="J7" s="16145"/>
      <c r="K7" s="16122" t="e">
        <f>J6&amp;".1"</f>
        <v>#N/A</v>
      </c>
      <c r="L7" s="1241"/>
      <c r="P7" s="16123"/>
      <c r="Q7" s="16123"/>
      <c r="R7" s="273">
        <v>1</v>
      </c>
      <c r="S7" s="1331" t="e">
        <f>$K7</f>
        <v>#N/A</v>
      </c>
      <c r="T7" s="1313"/>
      <c r="U7" s="217"/>
      <c r="V7" s="649"/>
      <c r="W7" s="649"/>
      <c r="X7" s="1139"/>
      <c r="Y7" s="16127"/>
      <c r="Z7" s="15973" t="s">
        <v>66</v>
      </c>
      <c r="AA7" s="16127"/>
      <c r="AB7" s="15973" t="s">
        <v>66</v>
      </c>
      <c r="AC7" s="649"/>
      <c r="AD7" s="649"/>
      <c r="AE7" s="1139"/>
      <c r="AF7" s="16127"/>
      <c r="AG7" s="15973" t="s">
        <v>66</v>
      </c>
      <c r="AH7" s="16146"/>
      <c r="AI7" s="15973" t="s">
        <v>66</v>
      </c>
      <c r="AJ7" s="1314"/>
      <c r="AK7"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16125"/>
      <c r="F8" s="16125"/>
      <c r="G8" s="16125"/>
      <c r="H8" s="16125"/>
      <c r="I8" s="16145"/>
      <c r="J8" s="16145"/>
      <c r="K8" s="16122"/>
      <c r="L8" s="1241"/>
      <c r="P8" s="16123"/>
      <c r="Q8" s="16123"/>
      <c r="R8" s="273"/>
      <c r="S8" s="1330"/>
      <c r="T8" s="217"/>
      <c r="U8" s="217"/>
      <c r="V8" s="242"/>
      <c r="W8" s="242"/>
      <c r="X8" s="245" t="str">
        <f>Y7&amp;"-"&amp;AA7</f>
        <v>-</v>
      </c>
      <c r="Y8" s="16128"/>
      <c r="Z8" s="15973"/>
      <c r="AA8" s="16128"/>
      <c r="AB8" s="15973"/>
      <c r="AC8" s="242"/>
      <c r="AD8" s="242"/>
      <c r="AE8" s="245" t="str">
        <f>AF7&amp;"-"&amp;AH7</f>
        <v>-</v>
      </c>
      <c r="AF8" s="16128"/>
      <c r="AG8" s="15973"/>
      <c r="AH8" s="16147"/>
      <c r="AI8" s="15973"/>
      <c r="AJ8" s="1315"/>
      <c r="AK8" s="16182"/>
      <c r="AM8" s="407"/>
      <c r="AN8" s="407" t="str">
        <f t="shared" si="0"/>
        <v/>
      </c>
      <c r="AO8" s="407"/>
      <c r="AP8" s="407"/>
    </row>
    <row r="9" spans="1:42" ht="21" hidden="1" customHeight="1">
      <c r="A9" s="1240"/>
      <c r="B9" s="1240"/>
      <c r="C9" s="1240"/>
      <c r="D9" s="1240"/>
      <c r="E9" s="16125"/>
      <c r="F9" s="16125"/>
      <c r="G9" s="16125"/>
      <c r="H9" s="16125"/>
      <c r="I9" s="16145"/>
      <c r="J9" s="16122"/>
      <c r="K9" s="1240"/>
      <c r="L9" s="1241"/>
      <c r="P9" s="16123"/>
      <c r="Q9" s="16123"/>
      <c r="R9" s="272"/>
      <c r="S9" s="1160"/>
      <c r="T9" s="204" t="s">
        <v>621</v>
      </c>
      <c r="U9" s="282"/>
      <c r="V9" s="282"/>
      <c r="W9" s="282"/>
      <c r="X9" s="282"/>
      <c r="Y9" s="282"/>
      <c r="Z9" s="282"/>
      <c r="AA9" s="282"/>
      <c r="AB9" s="282"/>
      <c r="AC9" s="282"/>
      <c r="AD9" s="282"/>
      <c r="AE9" s="282"/>
      <c r="AF9" s="282"/>
      <c r="AG9" s="282"/>
      <c r="AH9" s="282"/>
      <c r="AI9" s="282"/>
      <c r="AJ9" s="282"/>
      <c r="AK9" s="1140" t="s">
        <v>622</v>
      </c>
      <c r="AM9" s="407"/>
      <c r="AN9" s="407" t="str">
        <f t="shared" si="0"/>
        <v>Добавить значение признака дифференциации</v>
      </c>
      <c r="AO9" s="407"/>
      <c r="AP9" s="407"/>
    </row>
    <row r="10" spans="1:42" ht="21" hidden="1" customHeight="1">
      <c r="A10" s="1240"/>
      <c r="B10" s="1240"/>
      <c r="C10" s="1240"/>
      <c r="D10" s="1240"/>
      <c r="E10" s="16125"/>
      <c r="F10" s="16125"/>
      <c r="G10" s="16125"/>
      <c r="H10" s="16125"/>
      <c r="I10" s="16122"/>
      <c r="J10" s="1240"/>
      <c r="K10" s="1240"/>
      <c r="L10" s="1241"/>
      <c r="P10" s="16123"/>
      <c r="Q10" s="1324"/>
      <c r="R10" s="272"/>
      <c r="S10" s="1160"/>
      <c r="T10" s="280" t="s">
        <v>549</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16125"/>
      <c r="F11" s="16125"/>
      <c r="G11" s="16125"/>
      <c r="H11" s="16124"/>
      <c r="I11" s="1240"/>
      <c r="J11" s="1240"/>
      <c r="K11" s="1240"/>
      <c r="L11" s="1241"/>
      <c r="M11" s="1242"/>
      <c r="N11" s="1242"/>
      <c r="O11" s="443"/>
      <c r="P11" s="276"/>
      <c r="Q11" s="290"/>
      <c r="R11" s="271"/>
      <c r="S11" s="1160"/>
      <c r="T11" s="287" t="s">
        <v>623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4418" customFormat="1" ht="14.25" hidden="1" customHeight="1">
      <c r="A12" s="1221"/>
      <c r="B12" s="1221"/>
      <c r="C12" s="1193"/>
      <c r="D12" s="1193"/>
      <c r="E12" s="16125"/>
      <c r="F12" s="16124"/>
      <c r="G12" s="1193"/>
      <c r="H12" s="1193"/>
      <c r="I12" s="1193"/>
      <c r="J12" s="1193"/>
      <c r="K12" s="1193"/>
      <c r="L12" s="1332"/>
      <c r="M12" s="1200"/>
      <c r="N12" s="1200"/>
      <c r="P12" s="1195"/>
      <c r="Q12" s="1196"/>
      <c r="R12" s="1195"/>
      <c r="S12" s="1201"/>
      <c r="T12" s="1204" t="s">
        <v>290</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4421" customFormat="1" ht="14.25" hidden="1" customHeight="1">
      <c r="A13" s="1221"/>
      <c r="B13" s="1221"/>
      <c r="C13" s="1221"/>
      <c r="D13" s="1221"/>
      <c r="E13" s="16124"/>
      <c r="F13" s="1221"/>
      <c r="G13" s="1221"/>
      <c r="H13" s="1221"/>
      <c r="I13" s="1221"/>
      <c r="J13" s="1221"/>
      <c r="K13" s="1221"/>
      <c r="L13" s="1224"/>
      <c r="M13" s="1200"/>
      <c r="N13" s="1200"/>
      <c r="O13" s="425"/>
      <c r="P13" s="295"/>
      <c r="Q13" s="1222"/>
      <c r="R13" s="295"/>
      <c r="S13" s="1201"/>
      <c r="T13" s="1204" t="s">
        <v>326</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16129"/>
      <c r="AG15" s="16130" t="s">
        <v>66</v>
      </c>
      <c r="AH15" s="16129"/>
      <c r="AI15" s="16130" t="s">
        <v>66</v>
      </c>
    </row>
    <row r="16" spans="1:42" ht="14.25" hidden="1" customHeight="1">
      <c r="AC16" s="1237"/>
      <c r="AD16" s="1237"/>
      <c r="AE16" s="245" t="str">
        <f>AF15&amp;"-"&amp;AH15</f>
        <v>-</v>
      </c>
      <c r="AF16" s="16130"/>
      <c r="AG16" s="16130"/>
      <c r="AH16" s="16130"/>
      <c r="AI16" s="16130"/>
    </row>
    <row r="17" spans="1:42" ht="14.25" hidden="1" customHeight="1">
      <c r="AI17" s="244"/>
    </row>
    <row r="18" spans="1:42" s="14419" customFormat="1" ht="22.5" hidden="1" customHeight="1">
      <c r="L18" s="1321"/>
      <c r="M18" s="1239"/>
      <c r="N18" s="1239"/>
      <c r="O18" s="1244" t="s">
        <v>552</v>
      </c>
      <c r="P18" s="1239"/>
      <c r="Q18" s="1248"/>
      <c r="R18" s="1248"/>
      <c r="S18" s="629"/>
      <c r="Y18" s="1244"/>
      <c r="AA18" s="1244"/>
      <c r="AB18" s="1243"/>
      <c r="AF18" s="1244"/>
      <c r="AH18" s="1244"/>
      <c r="AI18" s="1243"/>
      <c r="AL18" s="418"/>
      <c r="AM18" s="418"/>
      <c r="AN18" s="418"/>
      <c r="AO18" s="418"/>
      <c r="AP18" s="418"/>
    </row>
    <row r="19" spans="1:42" s="14419" customFormat="1" ht="14.25" hidden="1" customHeight="1">
      <c r="L19" s="1321"/>
      <c r="M19" s="1239"/>
      <c r="N19" s="1239"/>
      <c r="O19" s="1239"/>
      <c r="P19" s="1239"/>
      <c r="Q19" s="1248"/>
      <c r="R19" s="1248"/>
      <c r="S19" s="629"/>
      <c r="AB19" s="1243"/>
      <c r="AI19" s="1243"/>
      <c r="AL19" s="418"/>
      <c r="AM19" s="418"/>
      <c r="AN19" s="418"/>
      <c r="AO19" s="418"/>
      <c r="AP19" s="418"/>
    </row>
    <row r="20" spans="1:42" s="14419" customFormat="1" ht="12" hidden="1" customHeight="1">
      <c r="L20" s="1321"/>
      <c r="M20" s="1239"/>
      <c r="N20" s="1239"/>
      <c r="O20" s="1241" t="s">
        <v>553</v>
      </c>
      <c r="P20" s="1239"/>
      <c r="Q20" s="1317"/>
      <c r="R20" s="1317"/>
      <c r="S20" s="629"/>
      <c r="T20" s="1041" t="s">
        <v>554</v>
      </c>
      <c r="Z20" s="108" t="s">
        <v>555</v>
      </c>
      <c r="AB20" s="108" t="s">
        <v>556</v>
      </c>
      <c r="AC20" s="1041" t="s">
        <v>554</v>
      </c>
      <c r="AG20" s="108" t="s">
        <v>557</v>
      </c>
      <c r="AI20" s="108" t="s">
        <v>556</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1610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6108"/>
      <c r="U24" s="16108"/>
      <c r="V24" s="16108"/>
      <c r="W24" s="16108"/>
      <c r="X24" s="16108"/>
      <c r="Y24" s="16108"/>
      <c r="Z24" s="16108"/>
      <c r="AA24" s="16108"/>
      <c r="AB24" s="16108"/>
      <c r="AC24" s="16108"/>
      <c r="AD24" s="16108"/>
      <c r="AE24" s="16108"/>
      <c r="AF24" s="16108"/>
      <c r="AG24" s="16108"/>
      <c r="AH24" s="16108"/>
      <c r="AI24" s="1125"/>
    </row>
    <row r="25" spans="1:42" ht="14.25" customHeight="1">
      <c r="Q25" s="291"/>
      <c r="R25" s="291"/>
      <c r="S25" s="16056" t="str">
        <f>IF(org=0,"Не определено",org)</f>
        <v>АО "Мурманэнергосбыт"</v>
      </c>
      <c r="T25" s="16056"/>
      <c r="U25" s="16056"/>
      <c r="V25" s="16056"/>
      <c r="W25" s="16056"/>
      <c r="X25" s="16056"/>
      <c r="Y25" s="16056"/>
      <c r="Z25" s="16056"/>
      <c r="AA25" s="16056"/>
      <c r="AB25" s="16056"/>
      <c r="AC25" s="16056"/>
      <c r="AD25" s="16056"/>
      <c r="AE25" s="16056"/>
      <c r="AF25" s="16056"/>
      <c r="AG25" s="16056"/>
      <c r="AH25" s="16056"/>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4420" customFormat="1" ht="25.5" customHeight="1">
      <c r="A27" s="1245"/>
      <c r="B27" s="1245"/>
      <c r="C27" s="1245"/>
      <c r="D27" s="1245"/>
      <c r="E27" s="1245"/>
      <c r="F27" s="1245"/>
      <c r="G27" s="1245"/>
      <c r="H27" s="1245"/>
      <c r="I27" s="1245"/>
      <c r="J27" s="1245"/>
      <c r="K27" s="1245"/>
      <c r="L27" s="1246"/>
      <c r="M27" s="1245"/>
      <c r="N27" s="1245"/>
      <c r="O27" s="1245"/>
      <c r="S27" s="16116" t="s">
        <v>38</v>
      </c>
      <c r="T27" s="16116"/>
      <c r="U27" s="1249"/>
      <c r="V27" s="16117" t="str">
        <f>IF(TITLE_NAME_OR_PR_CHANGE="",IF(TITLE_NAME_OR_PR="","",TITLE_NAME_OR_PR),TITLE_NAME_OR_PR_CHANGE)</f>
        <v>Комитет по тарифному регулированию Мурманской области</v>
      </c>
      <c r="W27" s="16117"/>
      <c r="X27" s="16117"/>
      <c r="Y27" s="16117"/>
      <c r="Z27" s="16117"/>
      <c r="AA27" s="16117"/>
      <c r="AB27" s="243"/>
      <c r="AC27" s="16117" t="str">
        <f>IF(TITLE_NAME_OR_PR_CHANGE="",IF(TITLE_NAME_OR_PR="","",TITLE_NAME_OR_PR),TITLE_NAME_OR_PR_CHANGE)</f>
        <v>Комитет по тарифному регулированию Мурманской области</v>
      </c>
      <c r="AD27" s="16117"/>
      <c r="AE27" s="16117"/>
      <c r="AF27" s="16117"/>
      <c r="AG27" s="16117"/>
      <c r="AH27" s="16117"/>
      <c r="AI27" s="243"/>
      <c r="AJ27" s="243"/>
      <c r="AK27" s="198"/>
      <c r="AL27" s="283"/>
      <c r="AM27" s="283"/>
      <c r="AN27" s="283"/>
      <c r="AO27" s="283"/>
      <c r="AP27" s="283"/>
    </row>
    <row r="28" spans="1:42" s="14420" customFormat="1" ht="18.75" customHeight="1">
      <c r="A28" s="1245"/>
      <c r="B28" s="1245"/>
      <c r="C28" s="1245"/>
      <c r="D28" s="1245"/>
      <c r="E28" s="1245"/>
      <c r="F28" s="1245"/>
      <c r="G28" s="1245"/>
      <c r="H28" s="1245"/>
      <c r="I28" s="1245"/>
      <c r="J28" s="1245"/>
      <c r="K28" s="1245"/>
      <c r="L28" s="1246"/>
      <c r="M28" s="1245"/>
      <c r="N28" s="1245"/>
      <c r="O28" s="1245"/>
      <c r="S28" s="16116" t="s">
        <v>558</v>
      </c>
      <c r="T28" s="16116"/>
      <c r="U28" s="1249"/>
      <c r="V28" s="16126">
        <f>IF(TITLE_DATE_PR_CHANGE="",IF(TITLE_DATE_PR="","",TITLE_DATE_PR),TITLE_DATE_PR_CHANGE)</f>
        <v>45379</v>
      </c>
      <c r="W28" s="16126"/>
      <c r="X28" s="16126"/>
      <c r="Y28" s="16126"/>
      <c r="Z28" s="16126"/>
      <c r="AA28" s="16126"/>
      <c r="AB28" s="243"/>
      <c r="AC28" s="16126">
        <f>IF(TITLE_DATE_PR_CHANGE="",IF(TITLE_DATE_PR="","",TITLE_DATE_PR),TITLE_DATE_PR_CHANGE)</f>
        <v>45379</v>
      </c>
      <c r="AD28" s="16126"/>
      <c r="AE28" s="16126"/>
      <c r="AF28" s="16126"/>
      <c r="AG28" s="16126"/>
      <c r="AH28" s="16126"/>
      <c r="AI28" s="243"/>
      <c r="AJ28" s="243"/>
      <c r="AK28" s="198"/>
      <c r="AL28" s="283"/>
      <c r="AM28" s="283"/>
      <c r="AN28" s="283"/>
      <c r="AO28" s="283"/>
      <c r="AP28" s="283"/>
    </row>
    <row r="29" spans="1:42" s="14420" customFormat="1" ht="18.75" customHeight="1">
      <c r="A29" s="1245"/>
      <c r="B29" s="1245"/>
      <c r="C29" s="1245"/>
      <c r="D29" s="1245"/>
      <c r="E29" s="1245"/>
      <c r="F29" s="1245"/>
      <c r="G29" s="1245"/>
      <c r="H29" s="1245"/>
      <c r="I29" s="1245"/>
      <c r="J29" s="1245"/>
      <c r="K29" s="1245"/>
      <c r="L29" s="1246"/>
      <c r="M29" s="1245"/>
      <c r="N29" s="1245"/>
      <c r="O29" s="1245"/>
      <c r="S29" s="16116" t="s">
        <v>559</v>
      </c>
      <c r="T29" s="16116"/>
      <c r="U29" s="1249"/>
      <c r="V29" s="16117" t="str">
        <f>IF(TITLE_NUMBER_PR_CHANGE="",IF(TITLE_NUMBER_PR="","",TITLE_NUMBER_PR),TITLE_NUMBER_PR_CHANGE)</f>
        <v>8/6</v>
      </c>
      <c r="W29" s="16117"/>
      <c r="X29" s="16117"/>
      <c r="Y29" s="16117"/>
      <c r="Z29" s="16117"/>
      <c r="AA29" s="16117"/>
      <c r="AB29" s="243"/>
      <c r="AC29" s="16117" t="str">
        <f>IF(TITLE_NUMBER_PR_CHANGE="",IF(TITLE_NUMBER_PR="","",TITLE_NUMBER_PR),TITLE_NUMBER_PR_CHANGE)</f>
        <v>8/6</v>
      </c>
      <c r="AD29" s="16117"/>
      <c r="AE29" s="16117"/>
      <c r="AF29" s="16117"/>
      <c r="AG29" s="16117"/>
      <c r="AH29" s="16117"/>
      <c r="AI29" s="243"/>
      <c r="AJ29" s="243"/>
      <c r="AK29" s="198"/>
      <c r="AL29" s="283"/>
      <c r="AM29" s="283"/>
      <c r="AN29" s="283"/>
      <c r="AO29" s="283"/>
      <c r="AP29" s="283"/>
    </row>
    <row r="30" spans="1:42" s="14420" customFormat="1" ht="18.75" customHeight="1">
      <c r="A30" s="1245"/>
      <c r="B30" s="1245"/>
      <c r="C30" s="1245"/>
      <c r="D30" s="1245"/>
      <c r="E30" s="1245"/>
      <c r="F30" s="1245"/>
      <c r="G30" s="1245"/>
      <c r="H30" s="1245"/>
      <c r="I30" s="1245"/>
      <c r="J30" s="1245"/>
      <c r="K30" s="1245"/>
      <c r="L30" s="1246"/>
      <c r="M30" s="1245"/>
      <c r="N30" s="1245"/>
      <c r="O30" s="1245"/>
      <c r="S30" s="16116" t="s">
        <v>40</v>
      </c>
      <c r="T30" s="16116"/>
      <c r="U30" s="1249"/>
      <c r="V30" s="16117" t="str">
        <f>IF(TITLE_IST_PUB_CHANGE="",IF(TITLE_IST_PUB="","",TITLE_IST_PUB),TITLE_IST_PUB_CHANGE)</f>
        <v>https://npa.gov-murman.ru/bitrix/components/b1team/govmurman.element.file/download.php?ID=518761&amp;FID=765125</v>
      </c>
      <c r="W30" s="16117"/>
      <c r="X30" s="16117"/>
      <c r="Y30" s="16117"/>
      <c r="Z30" s="16117"/>
      <c r="AA30" s="16117"/>
      <c r="AB30" s="243"/>
      <c r="AC30" s="16117" t="str">
        <f>IF(TITLE_IST_PUB_CHANGE="",IF(TITLE_IST_PUB="","",TITLE_IST_PUB),TITLE_IST_PUB_CHANGE)</f>
        <v>https://npa.gov-murman.ru/bitrix/components/b1team/govmurman.element.file/download.php?ID=518761&amp;FID=765125</v>
      </c>
      <c r="AD30" s="16117"/>
      <c r="AE30" s="16117"/>
      <c r="AF30" s="16117"/>
      <c r="AG30" s="16117"/>
      <c r="AH30" s="16117"/>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4420" customFormat="1" ht="18.75" hidden="1" customHeight="1">
      <c r="A32" s="1245"/>
      <c r="B32" s="1245"/>
      <c r="C32" s="1245"/>
      <c r="D32" s="1245"/>
      <c r="E32" s="1245"/>
      <c r="F32" s="1245"/>
      <c r="G32" s="1245"/>
      <c r="H32" s="1245"/>
      <c r="I32" s="1245"/>
      <c r="J32" s="1245"/>
      <c r="K32" s="1245"/>
      <c r="L32" s="1246"/>
      <c r="M32" s="1245"/>
      <c r="N32" s="1245"/>
      <c r="O32" s="1245"/>
      <c r="S32" s="16116" t="s">
        <v>560</v>
      </c>
      <c r="T32" s="16116"/>
      <c r="U32" s="1249"/>
      <c r="V32" s="16126">
        <f>IF(TITLE_DATE_PR_CHANGE="",IF(TITLE_DATE_PR="","",TITLE_DATE_PR),TITLE_DATE_PR_CHANGE)</f>
        <v>45379</v>
      </c>
      <c r="W32" s="16126"/>
      <c r="X32" s="16126"/>
      <c r="Y32" s="16126"/>
      <c r="Z32" s="16126"/>
      <c r="AA32" s="16126"/>
      <c r="AB32" s="243"/>
      <c r="AC32" s="16126">
        <f>IF(TITLE_DATE_PR_CHANGE="",IF(TITLE_DATE_PR="","",TITLE_DATE_PR),TITLE_DATE_PR_CHANGE)</f>
        <v>45379</v>
      </c>
      <c r="AD32" s="16126"/>
      <c r="AE32" s="16126"/>
      <c r="AF32" s="16126"/>
      <c r="AG32" s="16126"/>
      <c r="AH32" s="16126"/>
      <c r="AI32" s="243"/>
      <c r="AJ32" s="243"/>
      <c r="AK32" s="198"/>
      <c r="AL32" s="283"/>
      <c r="AM32" s="283"/>
      <c r="AN32" s="283"/>
      <c r="AO32" s="283"/>
      <c r="AP32" s="283"/>
    </row>
    <row r="33" spans="1:42" s="14420" customFormat="1" ht="18.75" hidden="1" customHeight="1">
      <c r="A33" s="1245"/>
      <c r="B33" s="1245"/>
      <c r="C33" s="1245"/>
      <c r="D33" s="1245"/>
      <c r="E33" s="1245"/>
      <c r="F33" s="1245"/>
      <c r="G33" s="1245"/>
      <c r="H33" s="1245"/>
      <c r="I33" s="1245"/>
      <c r="J33" s="1245"/>
      <c r="K33" s="1245"/>
      <c r="L33" s="1246"/>
      <c r="M33" s="1245"/>
      <c r="N33" s="1245"/>
      <c r="O33" s="1245"/>
      <c r="S33" s="16116" t="s">
        <v>561</v>
      </c>
      <c r="T33" s="16116"/>
      <c r="U33" s="1249"/>
      <c r="V33" s="16117" t="str">
        <f>IF(TITLE_NUMBER_PR_CHANGE="",IF(TITLE_NUMBER_PR="","",TITLE_NUMBER_PR),TITLE_NUMBER_PR_CHANGE)</f>
        <v>8/6</v>
      </c>
      <c r="W33" s="16117"/>
      <c r="X33" s="16117"/>
      <c r="Y33" s="16117"/>
      <c r="Z33" s="16117"/>
      <c r="AA33" s="16117"/>
      <c r="AB33" s="243"/>
      <c r="AC33" s="16117" t="str">
        <f>IF(TITLE_NUMBER_PR_CHANGE="",IF(TITLE_NUMBER_PR="","",TITLE_NUMBER_PR),TITLE_NUMBER_PR_CHANGE)</f>
        <v>8/6</v>
      </c>
      <c r="AD33" s="16117"/>
      <c r="AE33" s="16117"/>
      <c r="AF33" s="16117"/>
      <c r="AG33" s="16117"/>
      <c r="AH33" s="16117"/>
      <c r="AI33" s="243"/>
      <c r="AJ33" s="243"/>
      <c r="AK33" s="198"/>
      <c r="AL33" s="283"/>
      <c r="AM33" s="283"/>
      <c r="AN33" s="283"/>
      <c r="AO33" s="283"/>
      <c r="AP33" s="283"/>
    </row>
    <row r="34" spans="1:42" s="14420" customFormat="1" ht="0.75" customHeight="1">
      <c r="A34" s="1245"/>
      <c r="B34" s="1245"/>
      <c r="C34" s="1245"/>
      <c r="D34" s="1245"/>
      <c r="E34" s="1245"/>
      <c r="F34" s="1245"/>
      <c r="G34" s="1245"/>
      <c r="H34" s="1245"/>
      <c r="I34" s="1245"/>
      <c r="J34" s="1245"/>
      <c r="K34" s="1245"/>
      <c r="L34" s="1246"/>
      <c r="M34" s="1245"/>
      <c r="N34" s="1245"/>
      <c r="O34" s="1245"/>
      <c r="S34" s="240"/>
      <c r="T34" s="240"/>
      <c r="U34" s="1328"/>
      <c r="V34" s="243"/>
      <c r="W34" s="243"/>
      <c r="X34" s="243"/>
      <c r="Y34" s="243"/>
      <c r="Z34" s="243"/>
      <c r="AA34" s="243"/>
      <c r="AB34" s="196" t="s">
        <v>562</v>
      </c>
      <c r="AC34" s="243"/>
      <c r="AD34" s="243"/>
      <c r="AE34" s="243"/>
      <c r="AF34" s="243"/>
      <c r="AG34" s="243"/>
      <c r="AH34" s="243"/>
      <c r="AI34" s="196" t="s">
        <v>562</v>
      </c>
      <c r="AL34" s="283"/>
      <c r="AM34" s="283"/>
      <c r="AN34" s="283"/>
      <c r="AO34" s="283"/>
      <c r="AP34" s="283"/>
    </row>
    <row r="35" spans="1:42" ht="14.25" customHeight="1">
      <c r="Q35" s="291"/>
      <c r="R35" s="291"/>
      <c r="S35" s="1157"/>
      <c r="T35" s="279"/>
      <c r="U35" s="1126"/>
      <c r="V35" s="16118"/>
      <c r="W35" s="16118"/>
      <c r="X35" s="16118"/>
      <c r="Y35" s="16118"/>
      <c r="Z35" s="16118"/>
      <c r="AA35" s="16118"/>
      <c r="AB35" s="16118"/>
      <c r="AC35" s="16118"/>
      <c r="AD35" s="16118"/>
      <c r="AE35" s="16118"/>
      <c r="AF35" s="16118"/>
      <c r="AG35" s="16118"/>
      <c r="AH35" s="16118"/>
      <c r="AI35" s="16118"/>
    </row>
    <row r="36" spans="1:42" ht="14.25" customHeight="1">
      <c r="Q36" s="291"/>
      <c r="R36" s="291"/>
      <c r="S36" s="15992" t="s">
        <v>437</v>
      </c>
      <c r="T36" s="15992"/>
      <c r="U36" s="15992"/>
      <c r="V36" s="15992"/>
      <c r="W36" s="15992"/>
      <c r="X36" s="15992"/>
      <c r="Y36" s="15992"/>
      <c r="Z36" s="15992"/>
      <c r="AA36" s="15992"/>
      <c r="AB36" s="15992"/>
      <c r="AC36" s="15992"/>
      <c r="AD36" s="15992"/>
      <c r="AE36" s="15992"/>
      <c r="AF36" s="15992"/>
      <c r="AG36" s="15992"/>
      <c r="AH36" s="15992"/>
      <c r="AI36" s="15992"/>
      <c r="AJ36" s="15992"/>
      <c r="AK36" s="15992" t="s">
        <v>438</v>
      </c>
    </row>
    <row r="37" spans="1:42" ht="14.25" customHeight="1">
      <c r="Q37" s="291"/>
      <c r="R37" s="291"/>
      <c r="S37" s="16132" t="s">
        <v>87</v>
      </c>
      <c r="T37" s="16084" t="s">
        <v>563</v>
      </c>
      <c r="U37" s="218"/>
      <c r="V37" s="16133" t="s">
        <v>564</v>
      </c>
      <c r="W37" s="16134"/>
      <c r="X37" s="16134"/>
      <c r="Y37" s="16134"/>
      <c r="Z37" s="16134"/>
      <c r="AA37" s="16135"/>
      <c r="AB37" s="16136" t="s">
        <v>565</v>
      </c>
      <c r="AC37" s="16133" t="s">
        <v>564</v>
      </c>
      <c r="AD37" s="16134"/>
      <c r="AE37" s="16134"/>
      <c r="AF37" s="16134"/>
      <c r="AG37" s="16134"/>
      <c r="AH37" s="16135"/>
      <c r="AI37" s="16136" t="s">
        <v>566</v>
      </c>
      <c r="AJ37" s="16139" t="s">
        <v>567</v>
      </c>
      <c r="AK37" s="15992"/>
    </row>
    <row r="38" spans="1:42" ht="33.75" customHeight="1">
      <c r="Q38" s="291"/>
      <c r="R38" s="291"/>
      <c r="S38" s="16132"/>
      <c r="T38" s="16084"/>
      <c r="U38" s="919"/>
      <c r="V38" s="1326" t="s">
        <v>624</v>
      </c>
      <c r="W38" s="15963" t="s">
        <v>570</v>
      </c>
      <c r="X38" s="15962"/>
      <c r="Y38" s="15963" t="s">
        <v>571</v>
      </c>
      <c r="Z38" s="15968"/>
      <c r="AA38" s="15962"/>
      <c r="AB38" s="16137"/>
      <c r="AC38" s="1326" t="s">
        <v>624</v>
      </c>
      <c r="AD38" s="15963" t="s">
        <v>570</v>
      </c>
      <c r="AE38" s="15962"/>
      <c r="AF38" s="15963" t="s">
        <v>571</v>
      </c>
      <c r="AG38" s="15968"/>
      <c r="AH38" s="15962"/>
      <c r="AI38" s="16137"/>
      <c r="AJ38" s="16140"/>
      <c r="AK38" s="15992"/>
    </row>
    <row r="39" spans="1:42" ht="33.75" customHeight="1">
      <c r="A39" s="1247"/>
      <c r="B39" s="1247" t="s">
        <v>170</v>
      </c>
      <c r="C39" s="1247" t="s">
        <v>171</v>
      </c>
      <c r="D39" s="1247" t="s">
        <v>172</v>
      </c>
      <c r="E39" s="1241" t="s">
        <v>572</v>
      </c>
      <c r="F39" s="1241" t="s">
        <v>573</v>
      </c>
      <c r="G39" s="1241" t="s">
        <v>574</v>
      </c>
      <c r="H39" s="1241"/>
      <c r="I39" s="1241" t="s">
        <v>625</v>
      </c>
      <c r="J39" s="1241" t="s">
        <v>577</v>
      </c>
      <c r="K39" s="1241" t="s">
        <v>626</v>
      </c>
      <c r="L39" s="1241" t="s">
        <v>553</v>
      </c>
      <c r="Q39" s="291"/>
      <c r="R39" s="291"/>
      <c r="S39" s="16132"/>
      <c r="T39" s="16084"/>
      <c r="U39" s="219"/>
      <c r="V39" s="1326" t="s">
        <v>627</v>
      </c>
      <c r="W39" s="1104" t="s">
        <v>628</v>
      </c>
      <c r="X39" s="1104" t="s">
        <v>629</v>
      </c>
      <c r="Y39" s="1329" t="s">
        <v>581</v>
      </c>
      <c r="Z39" s="16092" t="s">
        <v>582</v>
      </c>
      <c r="AA39" s="16094"/>
      <c r="AB39" s="16138"/>
      <c r="AC39" s="1326" t="s">
        <v>627</v>
      </c>
      <c r="AD39" s="1104" t="s">
        <v>628</v>
      </c>
      <c r="AE39" s="1104" t="s">
        <v>629</v>
      </c>
      <c r="AF39" s="1329" t="s">
        <v>581</v>
      </c>
      <c r="AG39" s="16092" t="s">
        <v>582</v>
      </c>
      <c r="AH39" s="16094"/>
      <c r="AI39" s="16138"/>
      <c r="AJ39" s="16141"/>
      <c r="AK39" s="15992"/>
    </row>
    <row r="40" spans="1:42" s="14405"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147</v>
      </c>
      <c r="T40" s="1137" t="s">
        <v>102</v>
      </c>
      <c r="U40" s="1127" t="str">
        <f ca="1">OFFSET(U40,0,-1)</f>
        <v>2</v>
      </c>
      <c r="V40" s="1325">
        <f ca="1">OFFSET(V40,0,-1)+1</f>
        <v>3</v>
      </c>
      <c r="W40" s="1325">
        <f ca="1">OFFSET(W40,0,-1)+1</f>
        <v>4</v>
      </c>
      <c r="X40" s="1325">
        <f ca="1">OFFSET(X40,0,-1)+1</f>
        <v>5</v>
      </c>
      <c r="Y40" s="1325">
        <f ca="1">OFFSET(Y40,0,-1)+1</f>
        <v>6</v>
      </c>
      <c r="Z40" s="16131">
        <f ca="1">OFFSET(Z40,0,-1)+1</f>
        <v>7</v>
      </c>
      <c r="AA40" s="16131"/>
      <c r="AB40" s="1325">
        <f ca="1">OFFSET(AB40,0,-2)+1</f>
        <v>8</v>
      </c>
      <c r="AC40" s="1325">
        <f ca="1">OFFSET(AC40,0,-1)+1</f>
        <v>9</v>
      </c>
      <c r="AD40" s="1325">
        <f ca="1">OFFSET(AD40,0,-1)+1</f>
        <v>10</v>
      </c>
      <c r="AE40" s="1325">
        <f ca="1">OFFSET(AE40,0,-1)+1</f>
        <v>11</v>
      </c>
      <c r="AF40" s="1325">
        <f ca="1">OFFSET(AF40,0,-1)+1</f>
        <v>12</v>
      </c>
      <c r="AG40" s="16131">
        <f ca="1">OFFSET(AG40,0,-1)+1</f>
        <v>13</v>
      </c>
      <c r="AH40" s="16131"/>
      <c r="AI40" s="1325">
        <f ca="1">OFFSET(AI40,0,-2)+1</f>
        <v>14</v>
      </c>
      <c r="AJ40" s="1127">
        <f ca="1">OFFSET(AJ40,0,-1)</f>
        <v>14</v>
      </c>
      <c r="AK40" s="1325">
        <f ca="1">OFFSET(AK40,0,-1)+1</f>
        <v>15</v>
      </c>
      <c r="AL40" s="418"/>
      <c r="AM40" s="418"/>
      <c r="AN40" s="418"/>
      <c r="AO40" s="418"/>
      <c r="AP40" s="418"/>
    </row>
    <row r="41" spans="1:42" ht="23.25" customHeight="1">
      <c r="A41" s="1240" t="s">
        <v>270</v>
      </c>
      <c r="B41" s="1240"/>
      <c r="C41" s="1240"/>
      <c r="D41" s="1240"/>
      <c r="E41" s="16124">
        <v>1</v>
      </c>
      <c r="F41" s="1240"/>
      <c r="G41" s="1240"/>
      <c r="H41" s="1240"/>
      <c r="I41" s="1240"/>
      <c r="J41" s="1240"/>
      <c r="K41" s="1240"/>
      <c r="L41" s="1241"/>
      <c r="M41" s="1242"/>
      <c r="N41" s="1242"/>
      <c r="O41" s="1242"/>
      <c r="P41" s="277"/>
      <c r="Q41" s="276"/>
      <c r="R41" s="271"/>
      <c r="S41" s="1331">
        <f>INDEX(PT_DIFFERENTIATION_NUM_NTAR,MATCH(A41,PT_DIFFERENTIATION_NTAR_ID,0))</f>
        <v>0</v>
      </c>
      <c r="T41" s="215" t="s">
        <v>158</v>
      </c>
      <c r="U41" s="217"/>
      <c r="V41" s="16110"/>
      <c r="W41" s="16111"/>
      <c r="X41" s="16111"/>
      <c r="Y41" s="16111"/>
      <c r="Z41" s="16111"/>
      <c r="AA41" s="16111"/>
      <c r="AB41" s="16112"/>
      <c r="AC41" s="16110" t="str">
        <f>INDEX(PT_DIFFERENTIATION_NTAR,MATCH(A41,PT_DIFFERENTIATION_NTAR_ID,0))</f>
        <v/>
      </c>
      <c r="AD41" s="16111"/>
      <c r="AE41" s="16111"/>
      <c r="AF41" s="16111"/>
      <c r="AG41" s="16111"/>
      <c r="AH41" s="16111"/>
      <c r="AI41" s="16111"/>
      <c r="AJ41" s="16112"/>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270</v>
      </c>
      <c r="B42" s="1240" t="s">
        <v>271</v>
      </c>
      <c r="C42" s="1240"/>
      <c r="D42" s="1240"/>
      <c r="E42" s="16125"/>
      <c r="F42" s="16124">
        <v>1</v>
      </c>
      <c r="G42" s="1240"/>
      <c r="H42" s="1240"/>
      <c r="I42" s="1240"/>
      <c r="J42" s="1240"/>
      <c r="K42" s="1240"/>
      <c r="L42" s="1241"/>
      <c r="M42" s="1242"/>
      <c r="N42" s="1242"/>
      <c r="O42" s="1242"/>
      <c r="P42" s="1327"/>
      <c r="Q42" s="268"/>
      <c r="R42" s="269"/>
      <c r="S42" s="1331" t="str">
        <f>INDEX(PT_DIFFERENTIATION_NUM_TER,MATCH(B42,PT_DIFFERENTIATION_TER_ID,0))</f>
        <v>.</v>
      </c>
      <c r="T42" s="225" t="s">
        <v>534</v>
      </c>
      <c r="U42" s="217"/>
      <c r="V42" s="16110"/>
      <c r="W42" s="16111"/>
      <c r="X42" s="16111"/>
      <c r="Y42" s="16111"/>
      <c r="Z42" s="16111"/>
      <c r="AA42" s="16111"/>
      <c r="AB42" s="16112"/>
      <c r="AC42" s="16110" t="str">
        <f>INDEX(PT_DIFFERENTIATION_TER,MATCH(B42,PT_DIFFERENTIATION_TER_ID,0))</f>
        <v/>
      </c>
      <c r="AD42" s="16111"/>
      <c r="AE42" s="16111"/>
      <c r="AF42" s="16111"/>
      <c r="AG42" s="16111"/>
      <c r="AH42" s="16111"/>
      <c r="AI42" s="16111"/>
      <c r="AJ42" s="16112"/>
      <c r="AK42" s="1140" t="s">
        <v>535</v>
      </c>
      <c r="AM42" s="407"/>
      <c r="AN42" s="407" t="str">
        <f t="shared" si="1"/>
        <v>Территория действия тарифа</v>
      </c>
      <c r="AO42" s="407"/>
      <c r="AP42" s="407"/>
    </row>
    <row r="43" spans="1:42" ht="23.25" customHeight="1">
      <c r="A43" s="1240" t="s">
        <v>270</v>
      </c>
      <c r="B43" s="1240" t="s">
        <v>271</v>
      </c>
      <c r="C43" s="1240" t="s">
        <v>272</v>
      </c>
      <c r="D43" s="1240"/>
      <c r="E43" s="16125"/>
      <c r="F43" s="16125"/>
      <c r="G43" s="16124">
        <v>1</v>
      </c>
      <c r="H43" s="1240"/>
      <c r="I43" s="1240"/>
      <c r="J43" s="1240"/>
      <c r="K43" s="1240"/>
      <c r="L43" s="1241"/>
      <c r="M43" s="1242"/>
      <c r="N43" s="1242"/>
      <c r="O43" s="1242"/>
      <c r="P43" s="270"/>
      <c r="Q43" s="268"/>
      <c r="R43" s="269"/>
      <c r="S43" s="1331" t="str">
        <f>INDEX(PT_DIFFERENTIATION_NUM_CS,MATCH(C43,PT_DIFFERENTIATION_CS_ID,0))</f>
        <v>..</v>
      </c>
      <c r="T43" s="226" t="s">
        <v>616</v>
      </c>
      <c r="U43" s="217"/>
      <c r="V43" s="16110"/>
      <c r="W43" s="16111"/>
      <c r="X43" s="16111"/>
      <c r="Y43" s="16111"/>
      <c r="Z43" s="16111"/>
      <c r="AA43" s="16111"/>
      <c r="AB43" s="16112"/>
      <c r="AC43" s="16110" t="str">
        <f>INDEX(PT_DIFFERENTIATION_CS,MATCH(C43,PT_DIFFERENTIATION_CS_ID,0))</f>
        <v/>
      </c>
      <c r="AD43" s="16111"/>
      <c r="AE43" s="16111"/>
      <c r="AF43" s="16111"/>
      <c r="AG43" s="16111"/>
      <c r="AH43" s="16111"/>
      <c r="AI43" s="16111"/>
      <c r="AJ43" s="16112"/>
      <c r="AK43" s="1140" t="s">
        <v>617</v>
      </c>
      <c r="AM43" s="407"/>
      <c r="AN43" s="407" t="str">
        <f t="shared" si="1"/>
        <v>Наименование централизованной системы холодного водоснабжения</v>
      </c>
      <c r="AO43" s="407"/>
      <c r="AP43" s="407"/>
    </row>
    <row r="44" spans="1:42" ht="23.25" customHeight="1">
      <c r="A44" s="1240" t="s">
        <v>270</v>
      </c>
      <c r="B44" s="1240" t="s">
        <v>271</v>
      </c>
      <c r="C44" s="1240" t="s">
        <v>272</v>
      </c>
      <c r="D44" s="1240" t="s">
        <v>633</v>
      </c>
      <c r="E44" s="16125"/>
      <c r="F44" s="16125"/>
      <c r="G44" s="16125"/>
      <c r="H44" s="16125"/>
      <c r="I44" s="16122" t="str">
        <f>S43&amp;".1"</f>
        <v>...1</v>
      </c>
      <c r="J44" s="1240"/>
      <c r="K44" s="1240"/>
      <c r="L44" s="1241"/>
      <c r="P44" s="16123">
        <v>1</v>
      </c>
      <c r="Q44" s="1324"/>
      <c r="R44" s="272"/>
      <c r="S44" s="1331" t="str">
        <f>$I44</f>
        <v>...1</v>
      </c>
      <c r="T44" s="202" t="s">
        <v>618</v>
      </c>
      <c r="U44" s="217"/>
      <c r="V44" s="16183"/>
      <c r="W44" s="16184"/>
      <c r="X44" s="16184"/>
      <c r="Y44" s="16184"/>
      <c r="Z44" s="16184"/>
      <c r="AA44" s="16184"/>
      <c r="AB44" s="16185"/>
      <c r="AC44" s="16186"/>
      <c r="AD44" s="16187"/>
      <c r="AE44" s="16187"/>
      <c r="AF44" s="16187"/>
      <c r="AG44" s="16187"/>
      <c r="AH44" s="16187"/>
      <c r="AI44" s="16187"/>
      <c r="AJ44" s="16188"/>
      <c r="AK44" s="1140" t="s">
        <v>619</v>
      </c>
      <c r="AM44" s="407"/>
      <c r="AN44" s="407" t="str">
        <f t="shared" si="1"/>
        <v>Наименование признака дифференциации</v>
      </c>
      <c r="AO44" s="407"/>
      <c r="AP44" s="407"/>
    </row>
    <row r="45" spans="1:42" ht="23.25" customHeight="1">
      <c r="A45" s="1240" t="s">
        <v>270</v>
      </c>
      <c r="B45" s="1240" t="s">
        <v>271</v>
      </c>
      <c r="C45" s="1240" t="s">
        <v>272</v>
      </c>
      <c r="D45" s="1240" t="s">
        <v>633</v>
      </c>
      <c r="E45" s="16125"/>
      <c r="F45" s="16125"/>
      <c r="G45" s="16125"/>
      <c r="H45" s="16125"/>
      <c r="I45" s="16145"/>
      <c r="J45" s="16122" t="str">
        <f>I44&amp;".1"</f>
        <v>...1.1</v>
      </c>
      <c r="K45" s="1240"/>
      <c r="L45" s="1241" t="s">
        <v>543</v>
      </c>
      <c r="P45" s="16123"/>
      <c r="Q45" s="16123">
        <v>1</v>
      </c>
      <c r="R45" s="273"/>
      <c r="S45" s="1331" t="str">
        <f>$J45</f>
        <v>...1.1</v>
      </c>
      <c r="T45" s="203" t="s">
        <v>544</v>
      </c>
      <c r="U45" s="217"/>
      <c r="V45" s="16113"/>
      <c r="W45" s="16114"/>
      <c r="X45" s="16114"/>
      <c r="Y45" s="16114"/>
      <c r="Z45" s="16114"/>
      <c r="AA45" s="16114"/>
      <c r="AB45" s="16115"/>
      <c r="AC45" s="16113"/>
      <c r="AD45" s="16114"/>
      <c r="AE45" s="16114"/>
      <c r="AF45" s="16114"/>
      <c r="AG45" s="16114"/>
      <c r="AH45" s="16114"/>
      <c r="AI45" s="16114"/>
      <c r="AJ45" s="16115"/>
      <c r="AK45" s="1187" t="s">
        <v>620</v>
      </c>
      <c r="AM45" s="407"/>
      <c r="AN45" s="407" t="str">
        <f t="shared" si="1"/>
        <v>Группа потребителей</v>
      </c>
      <c r="AO45" s="407"/>
      <c r="AP45" s="407"/>
    </row>
    <row r="46" spans="1:42" ht="23.25" customHeight="1">
      <c r="A46" s="1240" t="s">
        <v>270</v>
      </c>
      <c r="B46" s="1240" t="s">
        <v>271</v>
      </c>
      <c r="C46" s="1240" t="s">
        <v>272</v>
      </c>
      <c r="D46" s="1240" t="s">
        <v>633</v>
      </c>
      <c r="E46" s="16125"/>
      <c r="F46" s="16125"/>
      <c r="G46" s="16125"/>
      <c r="H46" s="16125"/>
      <c r="I46" s="16145"/>
      <c r="J46" s="16145"/>
      <c r="K46" s="16122" t="str">
        <f>J45&amp;".1"</f>
        <v>...1.1.1</v>
      </c>
      <c r="L46" s="1241"/>
      <c r="P46" s="16123"/>
      <c r="Q46" s="16123"/>
      <c r="R46" s="273">
        <v>1</v>
      </c>
      <c r="S46" s="1331" t="str">
        <f>$K46</f>
        <v>...1.1.1</v>
      </c>
      <c r="T46" s="1313"/>
      <c r="U46" s="217"/>
      <c r="V46" s="649"/>
      <c r="W46" s="649"/>
      <c r="X46" s="1139"/>
      <c r="Y46" s="16127"/>
      <c r="Z46" s="15973" t="s">
        <v>66</v>
      </c>
      <c r="AA46" s="16127"/>
      <c r="AB46" s="15973" t="s">
        <v>66</v>
      </c>
      <c r="AC46" s="649"/>
      <c r="AD46" s="649"/>
      <c r="AE46" s="1139"/>
      <c r="AF46" s="16127"/>
      <c r="AG46" s="15973" t="s">
        <v>66</v>
      </c>
      <c r="AH46" s="16146"/>
      <c r="AI46" s="15973" t="s">
        <v>66</v>
      </c>
      <c r="AJ46" s="1314"/>
      <c r="AK46"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270</v>
      </c>
      <c r="B47" s="1240" t="s">
        <v>271</v>
      </c>
      <c r="C47" s="1240" t="s">
        <v>272</v>
      </c>
      <c r="D47" s="1240" t="s">
        <v>633</v>
      </c>
      <c r="E47" s="16125"/>
      <c r="F47" s="16125"/>
      <c r="G47" s="16125"/>
      <c r="H47" s="16125"/>
      <c r="I47" s="16145"/>
      <c r="J47" s="16145"/>
      <c r="K47" s="16122"/>
      <c r="L47" s="1241"/>
      <c r="P47" s="16123"/>
      <c r="Q47" s="16123"/>
      <c r="R47" s="273"/>
      <c r="S47" s="1330"/>
      <c r="T47" s="217"/>
      <c r="U47" s="217"/>
      <c r="V47" s="242"/>
      <c r="W47" s="242"/>
      <c r="X47" s="245" t="str">
        <f>Y46&amp;"-"&amp;AA46</f>
        <v>-</v>
      </c>
      <c r="Y47" s="16128"/>
      <c r="Z47" s="15973"/>
      <c r="AA47" s="16128"/>
      <c r="AB47" s="15973"/>
      <c r="AC47" s="242"/>
      <c r="AD47" s="242"/>
      <c r="AE47" s="245" t="str">
        <f>AF46&amp;"-"&amp;AH46</f>
        <v>-</v>
      </c>
      <c r="AF47" s="16128"/>
      <c r="AG47" s="15973"/>
      <c r="AH47" s="16147"/>
      <c r="AI47" s="15973"/>
      <c r="AJ47" s="1315"/>
      <c r="AK47" s="16182"/>
      <c r="AM47" s="407"/>
      <c r="AN47" s="407" t="str">
        <f t="shared" si="1"/>
        <v/>
      </c>
      <c r="AO47" s="407"/>
      <c r="AP47" s="407"/>
    </row>
    <row r="48" spans="1:42" ht="21" customHeight="1">
      <c r="A48" s="1240" t="s">
        <v>270</v>
      </c>
      <c r="B48" s="1240" t="s">
        <v>271</v>
      </c>
      <c r="C48" s="1240" t="s">
        <v>272</v>
      </c>
      <c r="D48" s="1240" t="s">
        <v>633</v>
      </c>
      <c r="E48" s="16125"/>
      <c r="F48" s="16125"/>
      <c r="G48" s="16125"/>
      <c r="H48" s="16125"/>
      <c r="I48" s="16145"/>
      <c r="J48" s="16122"/>
      <c r="K48" s="1240"/>
      <c r="L48" s="1241"/>
      <c r="P48" s="16123"/>
      <c r="Q48" s="16123"/>
      <c r="R48" s="272"/>
      <c r="S48" s="1160"/>
      <c r="T48" s="204" t="s">
        <v>621</v>
      </c>
      <c r="U48" s="282"/>
      <c r="V48" s="282"/>
      <c r="W48" s="282"/>
      <c r="X48" s="282"/>
      <c r="Y48" s="282"/>
      <c r="Z48" s="282"/>
      <c r="AA48" s="282"/>
      <c r="AB48" s="282"/>
      <c r="AC48" s="282"/>
      <c r="AD48" s="282"/>
      <c r="AE48" s="282"/>
      <c r="AF48" s="282"/>
      <c r="AG48" s="282"/>
      <c r="AH48" s="282"/>
      <c r="AI48" s="282"/>
      <c r="AJ48" s="282"/>
      <c r="AK48" s="1140" t="s">
        <v>622</v>
      </c>
      <c r="AM48" s="407"/>
      <c r="AN48" s="407" t="str">
        <f t="shared" si="1"/>
        <v>Добавить значение признака дифференциации</v>
      </c>
      <c r="AO48" s="407"/>
      <c r="AP48" s="407"/>
    </row>
    <row r="49" spans="1:42" ht="21" customHeight="1">
      <c r="A49" s="1240" t="s">
        <v>270</v>
      </c>
      <c r="B49" s="1240" t="s">
        <v>271</v>
      </c>
      <c r="C49" s="1240" t="s">
        <v>272</v>
      </c>
      <c r="D49" s="1240" t="s">
        <v>633</v>
      </c>
      <c r="E49" s="16125"/>
      <c r="F49" s="16125"/>
      <c r="G49" s="16125"/>
      <c r="H49" s="16125"/>
      <c r="I49" s="16122"/>
      <c r="J49" s="1240"/>
      <c r="K49" s="1240"/>
      <c r="L49" s="1241"/>
      <c r="P49" s="16123"/>
      <c r="Q49" s="1324"/>
      <c r="R49" s="272"/>
      <c r="S49" s="1160"/>
      <c r="T49" s="280" t="s">
        <v>549</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270</v>
      </c>
      <c r="B50" s="1240" t="s">
        <v>271</v>
      </c>
      <c r="C50" s="1240" t="s">
        <v>272</v>
      </c>
      <c r="D50" s="1240" t="s">
        <v>633</v>
      </c>
      <c r="E50" s="16125"/>
      <c r="F50" s="16125"/>
      <c r="G50" s="16125"/>
      <c r="H50" s="16124"/>
      <c r="I50" s="1240"/>
      <c r="J50" s="1240"/>
      <c r="K50" s="1240"/>
      <c r="L50" s="1241"/>
      <c r="M50" s="1242"/>
      <c r="N50" s="1242"/>
      <c r="O50" s="443"/>
      <c r="P50" s="276"/>
      <c r="Q50" s="290"/>
      <c r="R50" s="271"/>
      <c r="S50" s="1160"/>
      <c r="T50" s="287" t="s">
        <v>623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4418" customFormat="1" ht="0" hidden="1" customHeight="1">
      <c r="A51" s="1221" t="s">
        <v>270</v>
      </c>
      <c r="B51" s="1221" t="s">
        <v>271</v>
      </c>
      <c r="C51" s="1193"/>
      <c r="D51" s="1193"/>
      <c r="E51" s="16125"/>
      <c r="F51" s="16124"/>
      <c r="G51" s="1193"/>
      <c r="H51" s="1193"/>
      <c r="I51" s="1193"/>
      <c r="J51" s="1193"/>
      <c r="K51" s="1193"/>
      <c r="L51" s="1332"/>
      <c r="M51" s="1200"/>
      <c r="N51" s="1200"/>
      <c r="P51" s="1195"/>
      <c r="Q51" s="1196"/>
      <c r="R51" s="1195"/>
      <c r="S51" s="1201"/>
      <c r="T51" s="1204" t="s">
        <v>290</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4421" customFormat="1" ht="0" hidden="1" customHeight="1">
      <c r="A52" s="1221" t="s">
        <v>270</v>
      </c>
      <c r="B52" s="1221"/>
      <c r="C52" s="1221"/>
      <c r="D52" s="1221"/>
      <c r="E52" s="16124"/>
      <c r="F52" s="1221"/>
      <c r="G52" s="1221"/>
      <c r="H52" s="1221"/>
      <c r="I52" s="1221"/>
      <c r="J52" s="1221"/>
      <c r="K52" s="1221"/>
      <c r="L52" s="1224"/>
      <c r="M52" s="1200"/>
      <c r="N52" s="1200"/>
      <c r="O52" s="425"/>
      <c r="P52" s="295"/>
      <c r="Q52" s="1222"/>
      <c r="R52" s="295"/>
      <c r="S52" s="1201"/>
      <c r="T52" s="1204" t="s">
        <v>326</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4418" customFormat="1" ht="0" hidden="1" customHeight="1">
      <c r="A53" s="1193"/>
      <c r="B53" s="1193"/>
      <c r="C53" s="1193"/>
      <c r="D53" s="1193"/>
      <c r="E53" s="1221"/>
      <c r="F53" s="1193"/>
      <c r="G53" s="1193"/>
      <c r="H53" s="1193"/>
      <c r="I53" s="1193"/>
      <c r="J53" s="1193"/>
      <c r="K53" s="1193"/>
      <c r="L53" s="1332"/>
      <c r="M53" s="1200"/>
      <c r="N53" s="1200"/>
      <c r="P53" s="1195"/>
      <c r="Q53" s="1196"/>
      <c r="R53" s="1195"/>
      <c r="S53" s="1201"/>
      <c r="T53" s="1204" t="s">
        <v>390</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16144"/>
      <c r="U55" s="16144"/>
      <c r="V55" s="16144"/>
      <c r="W55" s="16144"/>
      <c r="X55" s="16144"/>
      <c r="Y55" s="16144"/>
      <c r="Z55" s="16144"/>
      <c r="AA55" s="16144"/>
      <c r="AB55" s="16144"/>
      <c r="AC55" s="16144"/>
      <c r="AD55" s="16144"/>
      <c r="AE55" s="16144"/>
      <c r="AF55" s="16144"/>
      <c r="AG55" s="16144"/>
      <c r="AH55" s="16144"/>
      <c r="AI55" s="16144"/>
      <c r="AJ55" s="16144"/>
      <c r="AK55" s="16144"/>
    </row>
    <row r="56" spans="1:42" ht="14.25" customHeight="1">
      <c r="O56" s="443"/>
    </row>
    <row r="57" spans="1:42" ht="14.25" customHeight="1">
      <c r="O57" s="443"/>
      <c r="S57" s="1135"/>
      <c r="T57" s="16144"/>
      <c r="U57" s="16144"/>
      <c r="V57" s="16144"/>
      <c r="W57" s="16144"/>
      <c r="X57" s="16144"/>
      <c r="Y57" s="16144"/>
      <c r="Z57" s="16144"/>
      <c r="AA57" s="16144"/>
      <c r="AB57" s="16144"/>
      <c r="AC57" s="16144"/>
      <c r="AD57" s="16144"/>
      <c r="AE57" s="16144"/>
      <c r="AF57" s="16144"/>
      <c r="AG57" s="16144"/>
      <c r="AH57" s="16144"/>
      <c r="AI57" s="16144"/>
      <c r="AJ57" s="16144"/>
      <c r="AK57" s="1614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AP66"/>
  <sheetViews>
    <sheetView showGridLines="0" zoomScale="90" workbookViewId="0">
      <selection activeCell="AK27" sqref="AK27"/>
    </sheetView>
  </sheetViews>
  <sheetFormatPr defaultColWidth="10.5703125" defaultRowHeight="14.25" customHeight="1"/>
  <cols>
    <col min="1" max="3" width="10.140625" style="14433" customWidth="1"/>
    <col min="4" max="4" width="11.85546875" style="14433" customWidth="1"/>
    <col min="5" max="11" width="10.140625" style="14433" customWidth="1"/>
    <col min="12" max="12" width="10.140625" style="14434" customWidth="1"/>
    <col min="13" max="15" width="10.140625" style="14435" customWidth="1"/>
    <col min="16" max="16" width="3.7109375" style="14423" customWidth="1"/>
    <col min="17" max="17" width="3.7109375" style="14439" customWidth="1"/>
    <col min="18" max="18" width="3.7109375" style="14425" customWidth="1"/>
    <col min="19" max="19" width="12.7109375" style="14426" customWidth="1"/>
    <col min="20" max="20" width="32" style="14433" customWidth="1"/>
    <col min="21" max="21" width="0.140625" style="14433" customWidth="1"/>
    <col min="22" max="23" width="21.7109375" style="14433" customWidth="1"/>
    <col min="24" max="24" width="11.7109375" style="14433" customWidth="1"/>
    <col min="25" max="25" width="3.7109375" style="14433" customWidth="1"/>
    <col min="26" max="26" width="11.7109375" style="14433" customWidth="1"/>
    <col min="27" max="27" width="8.5703125" style="14433" customWidth="1"/>
    <col min="28" max="28" width="28" style="14433" customWidth="1"/>
    <col min="29" max="29" width="24.5703125" style="14433" customWidth="1"/>
    <col min="30" max="31" width="21.7109375" style="14433" customWidth="1"/>
    <col min="32" max="32" width="11.7109375" style="14433" customWidth="1"/>
    <col min="33" max="33" width="3.7109375" style="14433" customWidth="1"/>
    <col min="34" max="34" width="11.7109375" style="14433" customWidth="1"/>
    <col min="35" max="35" width="8.5703125" style="14433" customWidth="1"/>
    <col min="36" max="36" width="4.7109375" style="14433" customWidth="1"/>
    <col min="37" max="37" width="115.7109375" style="14433" customWidth="1"/>
    <col min="38" max="39" width="10.5703125" style="14432"/>
    <col min="40" max="40" width="11.140625" style="14432" customWidth="1"/>
    <col min="41" max="42" width="10.5703125" style="14432"/>
  </cols>
  <sheetData>
    <row r="2" spans="1:42" ht="21" customHeight="1">
      <c r="A2" s="1149"/>
      <c r="B2" s="1149"/>
      <c r="C2" s="1149"/>
      <c r="D2" s="1149"/>
      <c r="E2" s="16148">
        <v>1</v>
      </c>
      <c r="F2" s="1149"/>
      <c r="G2" s="1149"/>
      <c r="H2" s="1149"/>
      <c r="I2" s="1149"/>
      <c r="J2" s="1149"/>
      <c r="K2" s="1149"/>
      <c r="L2" s="1189"/>
      <c r="M2" s="1476"/>
      <c r="N2" s="1476"/>
      <c r="O2" s="1476"/>
      <c r="P2" s="1286"/>
      <c r="Q2" s="767"/>
      <c r="R2" s="271"/>
      <c r="S2" s="1818" t="e">
        <f>INDEX(PT_DIFFERENTIATION_NUM_NTAR,MATCH(A2,PT_DIFFERENTIATION_NTAR_ID,0))</f>
        <v>#N/A</v>
      </c>
      <c r="T2" s="1396" t="s">
        <v>158</v>
      </c>
      <c r="U2" s="217"/>
      <c r="V2" s="16111"/>
      <c r="W2" s="16111"/>
      <c r="X2" s="16111"/>
      <c r="Y2" s="16111"/>
      <c r="Z2" s="16111"/>
      <c r="AA2" s="16112"/>
      <c r="AB2" s="1812"/>
      <c r="AC2" s="16111"/>
      <c r="AD2" s="16111"/>
      <c r="AE2" s="16111"/>
      <c r="AF2" s="16111"/>
      <c r="AG2" s="16111"/>
      <c r="AH2" s="16111"/>
      <c r="AI2" s="16111"/>
      <c r="AJ2" s="16112"/>
      <c r="AK2" s="1140" t="s">
        <v>533</v>
      </c>
      <c r="AM2" s="1487"/>
      <c r="AN2" s="1487" t="str">
        <f t="shared" ref="AN2:AN8" si="0">IF(T2="","",T2)</f>
        <v>Наименование тарифа</v>
      </c>
      <c r="AO2" s="1487"/>
      <c r="AP2" s="1487"/>
    </row>
    <row r="3" spans="1:42" ht="21" customHeight="1">
      <c r="A3" s="1149"/>
      <c r="B3" s="1149"/>
      <c r="C3" s="1149"/>
      <c r="D3" s="1149"/>
      <c r="E3" s="16149"/>
      <c r="F3" s="16148">
        <v>1</v>
      </c>
      <c r="G3" s="1149"/>
      <c r="H3" s="1149"/>
      <c r="I3" s="1149"/>
      <c r="J3" s="1149"/>
      <c r="K3" s="1149"/>
      <c r="L3" s="1189"/>
      <c r="M3" s="1476"/>
      <c r="N3" s="1476"/>
      <c r="O3" s="1476"/>
      <c r="P3" s="1829"/>
      <c r="Q3" s="1288"/>
      <c r="R3" s="269"/>
      <c r="S3" s="1818" t="e">
        <f>INDEX(PT_DIFFERENTIATION_NUM_TER,MATCH(B3,PT_DIFFERENTIATION_TER_ID,0))</f>
        <v>#N/A</v>
      </c>
      <c r="T3" s="1393" t="s">
        <v>534</v>
      </c>
      <c r="U3" s="217"/>
      <c r="V3" s="16111"/>
      <c r="W3" s="16111"/>
      <c r="X3" s="16111"/>
      <c r="Y3" s="16111"/>
      <c r="Z3" s="16111"/>
      <c r="AA3" s="16112"/>
      <c r="AB3" s="1812"/>
      <c r="AC3" s="16111"/>
      <c r="AD3" s="16111"/>
      <c r="AE3" s="16111"/>
      <c r="AF3" s="16111"/>
      <c r="AG3" s="16111"/>
      <c r="AH3" s="16111"/>
      <c r="AI3" s="16111"/>
      <c r="AJ3" s="16112"/>
      <c r="AK3" s="1140" t="s">
        <v>535</v>
      </c>
      <c r="AM3" s="1487"/>
      <c r="AN3" s="1487" t="str">
        <f t="shared" si="0"/>
        <v>Территория действия тарифа</v>
      </c>
      <c r="AO3" s="1487"/>
      <c r="AP3" s="1487"/>
    </row>
    <row r="4" spans="1:42" ht="22.5" customHeight="1">
      <c r="A4" s="1149"/>
      <c r="B4" s="1149"/>
      <c r="C4" s="1149"/>
      <c r="D4" s="1149"/>
      <c r="E4" s="16149"/>
      <c r="F4" s="16149"/>
      <c r="G4" s="16148">
        <v>1</v>
      </c>
      <c r="H4" s="1149"/>
      <c r="I4" s="1149"/>
      <c r="J4" s="1149"/>
      <c r="K4" s="1149"/>
      <c r="L4" s="1189"/>
      <c r="M4" s="1476"/>
      <c r="N4" s="1476"/>
      <c r="O4" s="1476"/>
      <c r="P4" s="1289"/>
      <c r="Q4" s="1288"/>
      <c r="R4" s="269"/>
      <c r="S4" s="1818" t="e">
        <f>INDEX(PT_DIFFERENTIATION_NUM_CS,MATCH(C4,PT_DIFFERENTIATION_CS_ID,0))</f>
        <v>#N/A</v>
      </c>
      <c r="T4" s="226" t="s">
        <v>536</v>
      </c>
      <c r="U4" s="217"/>
      <c r="V4" s="16111"/>
      <c r="W4" s="16111"/>
      <c r="X4" s="16111"/>
      <c r="Y4" s="16111"/>
      <c r="Z4" s="16111"/>
      <c r="AA4" s="16112"/>
      <c r="AB4" s="1812"/>
      <c r="AC4" s="16111"/>
      <c r="AD4" s="16111"/>
      <c r="AE4" s="16111"/>
      <c r="AF4" s="16111"/>
      <c r="AG4" s="16111"/>
      <c r="AH4" s="16111"/>
      <c r="AI4" s="16111"/>
      <c r="AJ4" s="16112"/>
      <c r="AK4" s="1140" t="s">
        <v>537</v>
      </c>
      <c r="AM4" s="1487"/>
      <c r="AN4" s="1487" t="str">
        <f t="shared" si="0"/>
        <v xml:space="preserve">Наименование системы теплоснабжения </v>
      </c>
      <c r="AO4" s="1487"/>
      <c r="AP4" s="1487"/>
    </row>
    <row r="5" spans="1:42" ht="21" customHeight="1">
      <c r="A5" s="1149"/>
      <c r="B5" s="1149"/>
      <c r="C5" s="1149"/>
      <c r="D5" s="1149"/>
      <c r="E5" s="16149"/>
      <c r="F5" s="16149"/>
      <c r="G5" s="16149"/>
      <c r="H5" s="16148">
        <v>1</v>
      </c>
      <c r="I5" s="1149"/>
      <c r="J5" s="1149"/>
      <c r="K5" s="1149"/>
      <c r="L5" s="1189"/>
      <c r="M5" s="1476"/>
      <c r="N5" s="1476"/>
      <c r="O5" s="1476"/>
      <c r="P5" s="1289"/>
      <c r="Q5" s="1288"/>
      <c r="R5" s="269"/>
      <c r="S5" s="1818" t="e">
        <f>INDEX(PT_DIFFERENTIATION_NUM_IST_TE,MATCH(D5,PT_DIFFERENTIATION_IST_TE_ID,0))</f>
        <v>#N/A</v>
      </c>
      <c r="T5" s="227" t="s">
        <v>538</v>
      </c>
      <c r="U5" s="217"/>
      <c r="V5" s="16111"/>
      <c r="W5" s="16111"/>
      <c r="X5" s="16111"/>
      <c r="Y5" s="16111"/>
      <c r="Z5" s="16111"/>
      <c r="AA5" s="16112"/>
      <c r="AB5" s="1812"/>
      <c r="AC5" s="16111"/>
      <c r="AD5" s="16111"/>
      <c r="AE5" s="16111"/>
      <c r="AF5" s="16111"/>
      <c r="AG5" s="16111"/>
      <c r="AH5" s="16111"/>
      <c r="AI5" s="16111"/>
      <c r="AJ5" s="16112"/>
      <c r="AK5" s="1140" t="s">
        <v>539</v>
      </c>
      <c r="AM5" s="1487"/>
      <c r="AN5" s="1487" t="str">
        <f t="shared" si="0"/>
        <v xml:space="preserve">Источник тепловой энергии  </v>
      </c>
      <c r="AO5" s="1487"/>
      <c r="AP5" s="1487"/>
    </row>
    <row r="6" spans="1:42" s="14432" customFormat="1" ht="0" hidden="1" customHeight="1">
      <c r="A6" s="1252"/>
      <c r="B6" s="1252"/>
      <c r="C6" s="1252"/>
      <c r="D6" s="1252"/>
      <c r="E6" s="16149"/>
      <c r="F6" s="16149"/>
      <c r="G6" s="16149"/>
      <c r="H6" s="16149"/>
      <c r="I6" s="15992" t="e">
        <f>S5&amp;".1"</f>
        <v>#N/A</v>
      </c>
      <c r="J6" s="1252"/>
      <c r="K6" s="1252"/>
      <c r="L6" s="1258" t="s">
        <v>540</v>
      </c>
      <c r="M6" s="1128"/>
      <c r="N6" s="1128"/>
      <c r="O6" s="1128"/>
      <c r="P6" s="16123">
        <v>1</v>
      </c>
      <c r="Q6" s="1814"/>
      <c r="R6" s="272"/>
      <c r="S6" s="930"/>
      <c r="T6" s="1260"/>
      <c r="U6" s="1261"/>
      <c r="V6" s="16154"/>
      <c r="W6" s="16154"/>
      <c r="X6" s="16154"/>
      <c r="Y6" s="16154"/>
      <c r="Z6" s="16154"/>
      <c r="AA6" s="16155"/>
      <c r="AB6" s="1820"/>
      <c r="AC6" s="16154"/>
      <c r="AD6" s="16154"/>
      <c r="AE6" s="16154"/>
      <c r="AF6" s="16154"/>
      <c r="AG6" s="16154"/>
      <c r="AH6" s="16154"/>
      <c r="AI6" s="16154"/>
      <c r="AJ6" s="16155"/>
      <c r="AK6" s="1262"/>
      <c r="AM6" s="1487"/>
      <c r="AN6" s="1487" t="str">
        <f t="shared" si="0"/>
        <v/>
      </c>
      <c r="AO6" s="1487"/>
      <c r="AP6" s="1487"/>
    </row>
    <row r="7" spans="1:42" s="14432" customFormat="1" ht="0" hidden="1" customHeight="1">
      <c r="A7" s="1252"/>
      <c r="B7" s="1252"/>
      <c r="C7" s="1252"/>
      <c r="D7" s="1252"/>
      <c r="E7" s="16149"/>
      <c r="F7" s="16149"/>
      <c r="G7" s="16149"/>
      <c r="H7" s="16149"/>
      <c r="I7" s="15963"/>
      <c r="J7" s="15992" t="e">
        <f>S5&amp;".1"</f>
        <v>#N/A</v>
      </c>
      <c r="K7" s="1252"/>
      <c r="L7" s="1258"/>
      <c r="M7" s="1128"/>
      <c r="N7" s="1128"/>
      <c r="O7" s="1128"/>
      <c r="P7" s="16123"/>
      <c r="Q7" s="16123">
        <v>1</v>
      </c>
      <c r="R7" s="273"/>
      <c r="S7" s="930"/>
      <c r="T7" s="1276"/>
      <c r="U7" s="1261"/>
      <c r="V7" s="16154"/>
      <c r="W7" s="16154"/>
      <c r="X7" s="16154"/>
      <c r="Y7" s="16154"/>
      <c r="Z7" s="16154"/>
      <c r="AA7" s="16155"/>
      <c r="AB7" s="1820"/>
      <c r="AC7" s="16154"/>
      <c r="AD7" s="16154"/>
      <c r="AE7" s="16154"/>
      <c r="AF7" s="16154"/>
      <c r="AG7" s="16154"/>
      <c r="AH7" s="16154"/>
      <c r="AI7" s="16154"/>
      <c r="AJ7" s="16155"/>
      <c r="AK7" s="1262"/>
      <c r="AM7" s="1487"/>
      <c r="AN7" s="1487" t="str">
        <f t="shared" si="0"/>
        <v/>
      </c>
      <c r="AO7" s="1487"/>
      <c r="AP7" s="1487"/>
    </row>
    <row r="8" spans="1:42" ht="21" customHeight="1">
      <c r="A8" s="1149"/>
      <c r="B8" s="1149"/>
      <c r="C8" s="1149"/>
      <c r="D8" s="1149"/>
      <c r="E8" s="16149"/>
      <c r="F8" s="16149"/>
      <c r="G8" s="16149"/>
      <c r="H8" s="16149"/>
      <c r="I8" s="15963"/>
      <c r="J8" s="15963"/>
      <c r="K8" s="15992" t="e">
        <f>S5&amp;".1"</f>
        <v>#N/A</v>
      </c>
      <c r="L8" s="1189"/>
      <c r="P8" s="16123"/>
      <c r="Q8" s="16123"/>
      <c r="R8" s="16180">
        <v>1</v>
      </c>
      <c r="S8" s="16174" t="e">
        <f>$K8</f>
        <v>#N/A</v>
      </c>
      <c r="T8" s="16177"/>
      <c r="U8" s="217"/>
      <c r="V8" s="649"/>
      <c r="W8" s="1139"/>
      <c r="X8" s="16127"/>
      <c r="Y8" s="15973" t="s">
        <v>66</v>
      </c>
      <c r="Z8" s="16127"/>
      <c r="AA8" s="15973" t="s">
        <v>66</v>
      </c>
      <c r="AB8" s="1802"/>
      <c r="AC8" s="16161"/>
      <c r="AD8" s="649"/>
      <c r="AE8" s="1139"/>
      <c r="AF8" s="1815"/>
      <c r="AG8" s="1802" t="s">
        <v>66</v>
      </c>
      <c r="AH8" s="1815"/>
      <c r="AI8" s="1802" t="s">
        <v>66</v>
      </c>
      <c r="AJ8" s="1226"/>
      <c r="AK8" s="16119" t="s">
        <v>598</v>
      </c>
      <c r="AL8" s="1499" t="e">
        <f ca="1">STRCHECKDATE(V11:AJ11)</f>
        <v>#NAME?</v>
      </c>
      <c r="AM8" s="1487"/>
      <c r="AN8" s="1487" t="str">
        <f t="shared" si="0"/>
        <v/>
      </c>
      <c r="AO8" s="1487"/>
      <c r="AP8" s="1487"/>
    </row>
    <row r="9" spans="1:42" ht="11.25" customHeight="1">
      <c r="A9" s="1149"/>
      <c r="B9" s="1149"/>
      <c r="C9" s="1149"/>
      <c r="D9" s="1149"/>
      <c r="E9" s="16149"/>
      <c r="F9" s="16149"/>
      <c r="G9" s="16149"/>
      <c r="H9" s="16149"/>
      <c r="I9" s="15963"/>
      <c r="J9" s="15963"/>
      <c r="K9" s="15992"/>
      <c r="L9" s="1189"/>
      <c r="P9" s="16123"/>
      <c r="Q9" s="16123"/>
      <c r="R9" s="16180"/>
      <c r="S9" s="16175"/>
      <c r="T9" s="16178"/>
      <c r="U9" s="217"/>
      <c r="V9" s="1270"/>
      <c r="W9" s="1274"/>
      <c r="X9" s="16127"/>
      <c r="Y9" s="15973"/>
      <c r="Z9" s="16127"/>
      <c r="AA9" s="15973"/>
      <c r="AB9" s="1802"/>
      <c r="AC9" s="16161"/>
      <c r="AD9" s="1270"/>
      <c r="AE9" s="1367"/>
      <c r="AF9" s="1270"/>
      <c r="AG9" s="1270"/>
      <c r="AH9" s="1270"/>
      <c r="AI9" s="1270"/>
      <c r="AJ9" s="1267"/>
      <c r="AK9" s="16120"/>
      <c r="AM9" s="1487"/>
      <c r="AN9" s="1487"/>
      <c r="AO9" s="1487"/>
      <c r="AP9" s="1487"/>
    </row>
    <row r="10" spans="1:42" ht="11.25" customHeight="1">
      <c r="A10" s="1149"/>
      <c r="B10" s="1149"/>
      <c r="C10" s="1149"/>
      <c r="D10" s="1149"/>
      <c r="E10" s="16149"/>
      <c r="F10" s="16149"/>
      <c r="G10" s="16149"/>
      <c r="H10" s="16149"/>
      <c r="I10" s="15963"/>
      <c r="J10" s="15963"/>
      <c r="K10" s="15992"/>
      <c r="L10" s="1189"/>
      <c r="P10" s="16123"/>
      <c r="Q10" s="16123"/>
      <c r="R10" s="16180"/>
      <c r="S10" s="16175"/>
      <c r="T10" s="16178"/>
      <c r="U10" s="217"/>
      <c r="V10" s="1270"/>
      <c r="W10" s="1274"/>
      <c r="X10" s="16127"/>
      <c r="Y10" s="15973"/>
      <c r="Z10" s="16127"/>
      <c r="AA10" s="15973"/>
      <c r="AB10" s="1802"/>
      <c r="AC10" s="16161"/>
      <c r="AD10" s="1270"/>
      <c r="AE10" s="1367"/>
      <c r="AF10" s="1270"/>
      <c r="AG10" s="1270"/>
      <c r="AH10" s="1270"/>
      <c r="AI10" s="1270"/>
      <c r="AJ10" s="1267"/>
      <c r="AK10" s="16120"/>
      <c r="AM10" s="1487"/>
      <c r="AN10" s="1487"/>
      <c r="AO10" s="1487"/>
      <c r="AP10" s="1487"/>
    </row>
    <row r="11" spans="1:42" ht="11.25" customHeight="1">
      <c r="A11" s="1149"/>
      <c r="B11" s="1149"/>
      <c r="C11" s="1149"/>
      <c r="D11" s="1149"/>
      <c r="E11" s="16149"/>
      <c r="F11" s="16149"/>
      <c r="G11" s="16149"/>
      <c r="H11" s="16149"/>
      <c r="I11" s="15963"/>
      <c r="J11" s="15963"/>
      <c r="K11" s="15992"/>
      <c r="L11" s="1189"/>
      <c r="P11" s="16123"/>
      <c r="Q11" s="16123"/>
      <c r="R11" s="16180"/>
      <c r="S11" s="16176"/>
      <c r="T11" s="16179"/>
      <c r="U11" s="217"/>
      <c r="V11" s="1270"/>
      <c r="W11" s="1273" t="str">
        <f>X8&amp;"-"&amp;Z8</f>
        <v>-</v>
      </c>
      <c r="X11" s="16128"/>
      <c r="Y11" s="15973"/>
      <c r="Z11" s="16128"/>
      <c r="AA11" s="15973"/>
      <c r="AB11" s="1831"/>
      <c r="AC11" s="1049" t="s">
        <v>601</v>
      </c>
      <c r="AD11" s="1270"/>
      <c r="AE11" s="1271" t="str">
        <f>AF8&amp;"-"&amp;AH8</f>
        <v>-</v>
      </c>
      <c r="AF11" s="1270"/>
      <c r="AG11" s="1270"/>
      <c r="AH11" s="1270"/>
      <c r="AI11" s="1270"/>
      <c r="AJ11" s="1227"/>
      <c r="AK11" s="16120"/>
      <c r="AM11" s="1487"/>
      <c r="AN11" s="1487" t="str">
        <f t="shared" ref="AN11:AN17" si="1">IF(T11="","",T11)</f>
        <v/>
      </c>
      <c r="AO11" s="1487"/>
      <c r="AP11" s="1487"/>
    </row>
    <row r="12" spans="1:42" ht="11.25" customHeight="1">
      <c r="A12" s="1149"/>
      <c r="B12" s="1149"/>
      <c r="C12" s="1149"/>
      <c r="D12" s="1149"/>
      <c r="E12" s="16149"/>
      <c r="F12" s="16149"/>
      <c r="G12" s="16149"/>
      <c r="H12" s="16149"/>
      <c r="I12" s="15963"/>
      <c r="J12" s="15992"/>
      <c r="K12" s="1149"/>
      <c r="L12" s="1189"/>
      <c r="P12" s="16123"/>
      <c r="Q12" s="16123"/>
      <c r="R12" s="272"/>
      <c r="S12" s="1160"/>
      <c r="T12" s="204" t="s">
        <v>602</v>
      </c>
      <c r="U12" s="503"/>
      <c r="V12" s="503"/>
      <c r="W12" s="503"/>
      <c r="X12" s="503"/>
      <c r="Y12" s="503"/>
      <c r="Z12" s="503"/>
      <c r="AA12" s="503"/>
      <c r="AB12" s="503"/>
      <c r="AC12" s="503"/>
      <c r="AD12" s="503"/>
      <c r="AE12" s="503"/>
      <c r="AF12" s="503"/>
      <c r="AG12" s="503"/>
      <c r="AH12" s="503"/>
      <c r="AI12" s="503"/>
      <c r="AJ12" s="241"/>
      <c r="AK12" s="16121"/>
      <c r="AM12" s="1487"/>
      <c r="AN12" s="1487" t="str">
        <f t="shared" si="1"/>
        <v>Добавить строку</v>
      </c>
      <c r="AO12" s="1487"/>
      <c r="AP12" s="1487"/>
    </row>
    <row r="13" spans="1:42" s="14432" customFormat="1" ht="0" hidden="1" customHeight="1">
      <c r="A13" s="1252"/>
      <c r="B13" s="1252"/>
      <c r="C13" s="1252"/>
      <c r="D13" s="1252"/>
      <c r="E13" s="16149"/>
      <c r="F13" s="16149"/>
      <c r="G13" s="16149"/>
      <c r="H13" s="16149"/>
      <c r="I13" s="15992"/>
      <c r="J13" s="1252"/>
      <c r="K13" s="1252"/>
      <c r="L13" s="1258"/>
      <c r="M13" s="1128"/>
      <c r="N13" s="1128"/>
      <c r="O13" s="1128"/>
      <c r="P13" s="16123"/>
      <c r="Q13" s="1814"/>
      <c r="R13" s="272"/>
      <c r="S13" s="1263"/>
      <c r="T13" s="1264"/>
      <c r="U13" s="1265"/>
      <c r="V13" s="1265"/>
      <c r="W13" s="1265"/>
      <c r="X13" s="1265"/>
      <c r="Y13" s="1265"/>
      <c r="Z13" s="1265"/>
      <c r="AA13" s="1265"/>
      <c r="AB13" s="1265"/>
      <c r="AC13" s="1265"/>
      <c r="AD13" s="1265"/>
      <c r="AE13" s="1265"/>
      <c r="AF13" s="1265"/>
      <c r="AG13" s="1265"/>
      <c r="AH13" s="1265"/>
      <c r="AI13" s="1265"/>
      <c r="AJ13" s="1265"/>
      <c r="AK13" s="1266"/>
      <c r="AM13" s="1487"/>
      <c r="AN13" s="1487" t="str">
        <f t="shared" si="1"/>
        <v/>
      </c>
      <c r="AO13" s="1487"/>
      <c r="AP13" s="1487"/>
    </row>
    <row r="14" spans="1:42" s="14432" customFormat="1" ht="0" hidden="1" customHeight="1">
      <c r="A14" s="1252"/>
      <c r="B14" s="1252"/>
      <c r="C14" s="1252"/>
      <c r="D14" s="1252"/>
      <c r="E14" s="16149"/>
      <c r="F14" s="16149"/>
      <c r="G14" s="16149"/>
      <c r="H14" s="16148"/>
      <c r="I14" s="1252"/>
      <c r="J14" s="1252"/>
      <c r="K14" s="1252"/>
      <c r="L14" s="1258"/>
      <c r="M14" s="1255"/>
      <c r="N14" s="1255"/>
      <c r="O14" s="267"/>
      <c r="P14" s="295"/>
      <c r="Q14" s="1222"/>
      <c r="R14" s="1278"/>
      <c r="S14" s="1263"/>
      <c r="T14" s="1264"/>
      <c r="U14" s="1265"/>
      <c r="V14" s="1265"/>
      <c r="W14" s="1265"/>
      <c r="X14" s="1265"/>
      <c r="Y14" s="1265"/>
      <c r="Z14" s="1265"/>
      <c r="AA14" s="1265"/>
      <c r="AB14" s="1265"/>
      <c r="AC14" s="1265"/>
      <c r="AD14" s="1265"/>
      <c r="AE14" s="1265"/>
      <c r="AF14" s="1265"/>
      <c r="AG14" s="1265"/>
      <c r="AH14" s="1265"/>
      <c r="AI14" s="1265"/>
      <c r="AJ14" s="1265"/>
      <c r="AK14" s="1266"/>
      <c r="AM14" s="1487"/>
      <c r="AN14" s="1487" t="str">
        <f t="shared" si="1"/>
        <v/>
      </c>
      <c r="AO14" s="1487"/>
      <c r="AP14" s="1487"/>
    </row>
    <row r="15" spans="1:42" s="14429" customFormat="1" ht="0" hidden="1" customHeight="1">
      <c r="A15" s="1252"/>
      <c r="B15" s="1252"/>
      <c r="C15" s="1252"/>
      <c r="D15" s="1251"/>
      <c r="E15" s="16149"/>
      <c r="F15" s="16149"/>
      <c r="G15" s="16148"/>
      <c r="H15" s="1251"/>
      <c r="I15" s="1251"/>
      <c r="J15" s="1251"/>
      <c r="K15" s="1251"/>
      <c r="L15" s="1254"/>
      <c r="M15" s="1255"/>
      <c r="N15" s="1255"/>
      <c r="O15" s="267"/>
      <c r="P15" s="1195"/>
      <c r="Q15" s="1196"/>
      <c r="R15" s="1195"/>
      <c r="S15" s="1201"/>
      <c r="T15" s="1204" t="s">
        <v>551</v>
      </c>
      <c r="U15" s="1203"/>
      <c r="V15" s="1203"/>
      <c r="W15" s="1203"/>
      <c r="X15" s="1203"/>
      <c r="Y15" s="1203"/>
      <c r="Z15" s="1203"/>
      <c r="AA15" s="1203"/>
      <c r="AB15" s="1203"/>
      <c r="AC15" s="1203"/>
      <c r="AD15" s="1203"/>
      <c r="AE15" s="1203"/>
      <c r="AF15" s="1203"/>
      <c r="AG15" s="1203"/>
      <c r="AH15" s="1203"/>
      <c r="AI15" s="1203"/>
      <c r="AJ15" s="1203"/>
      <c r="AK15" s="1203"/>
      <c r="AM15" s="1133"/>
      <c r="AN15" s="1133" t="str">
        <f t="shared" si="1"/>
        <v>Добавить источник для дифференциации</v>
      </c>
      <c r="AO15" s="1133"/>
      <c r="AP15" s="1133"/>
    </row>
    <row r="16" spans="1:42" s="14429" customFormat="1" ht="0" hidden="1" customHeight="1">
      <c r="A16" s="1252"/>
      <c r="B16" s="1252"/>
      <c r="C16" s="1251"/>
      <c r="D16" s="1251"/>
      <c r="E16" s="16149"/>
      <c r="F16" s="16148"/>
      <c r="G16" s="1251"/>
      <c r="H16" s="1251"/>
      <c r="I16" s="1251"/>
      <c r="J16" s="1251"/>
      <c r="K16" s="1251"/>
      <c r="L16" s="1254"/>
      <c r="M16" s="1256"/>
      <c r="N16" s="1256"/>
      <c r="O16" s="267"/>
      <c r="P16" s="1195"/>
      <c r="Q16" s="1196"/>
      <c r="R16" s="1195"/>
      <c r="S16" s="1201"/>
      <c r="T16" s="1204" t="s">
        <v>290</v>
      </c>
      <c r="U16" s="1203"/>
      <c r="V16" s="1203"/>
      <c r="W16" s="1203"/>
      <c r="X16" s="1203"/>
      <c r="Y16" s="1203"/>
      <c r="Z16" s="1203"/>
      <c r="AA16" s="1203"/>
      <c r="AB16" s="1203"/>
      <c r="AC16" s="1203"/>
      <c r="AD16" s="1203"/>
      <c r="AE16" s="1203"/>
      <c r="AF16" s="1203"/>
      <c r="AG16" s="1203"/>
      <c r="AH16" s="1203"/>
      <c r="AI16" s="1203"/>
      <c r="AJ16" s="1203"/>
      <c r="AK16" s="1203"/>
      <c r="AM16" s="1133"/>
      <c r="AN16" s="1133" t="str">
        <f t="shared" si="1"/>
        <v>Добавить централизованную систему для дифференциации</v>
      </c>
      <c r="AO16" s="1133"/>
      <c r="AP16" s="1133"/>
    </row>
    <row r="17" spans="1:42" s="14432" customFormat="1" ht="0" hidden="1" customHeight="1">
      <c r="A17" s="1252"/>
      <c r="B17" s="1252"/>
      <c r="C17" s="1252"/>
      <c r="D17" s="1252"/>
      <c r="E17" s="16148"/>
      <c r="F17" s="1252"/>
      <c r="G17" s="1252"/>
      <c r="H17" s="1252"/>
      <c r="I17" s="1252"/>
      <c r="J17" s="1252"/>
      <c r="K17" s="1252"/>
      <c r="L17" s="1258"/>
      <c r="M17" s="1256"/>
      <c r="N17" s="1256"/>
      <c r="O17" s="267"/>
      <c r="P17" s="295"/>
      <c r="Q17" s="1222"/>
      <c r="R17" s="295"/>
      <c r="S17" s="1201"/>
      <c r="T17" s="1204" t="s">
        <v>326</v>
      </c>
      <c r="U17" s="1203"/>
      <c r="V17" s="1203"/>
      <c r="W17" s="1203"/>
      <c r="X17" s="1203"/>
      <c r="Y17" s="1203"/>
      <c r="Z17" s="1203"/>
      <c r="AA17" s="1203"/>
      <c r="AB17" s="1203"/>
      <c r="AC17" s="1203"/>
      <c r="AD17" s="1203"/>
      <c r="AE17" s="1203"/>
      <c r="AF17" s="1203"/>
      <c r="AG17" s="1203"/>
      <c r="AH17" s="1203"/>
      <c r="AI17" s="1203"/>
      <c r="AJ17" s="1203"/>
      <c r="AK17" s="1203"/>
      <c r="AM17" s="1487"/>
      <c r="AN17" s="1487" t="str">
        <f t="shared" si="1"/>
        <v>Добавить территорию для дифференциации</v>
      </c>
      <c r="AO17" s="1487"/>
      <c r="AP17" s="1487"/>
    </row>
    <row r="19" spans="1:42" ht="14.25" customHeight="1">
      <c r="AC19" s="1373"/>
      <c r="AD19" s="1280"/>
      <c r="AE19" s="1281"/>
      <c r="AF19" s="1598"/>
      <c r="AG19" s="1826" t="s">
        <v>66</v>
      </c>
      <c r="AH19" s="1598"/>
      <c r="AI19" s="1826" t="s">
        <v>66</v>
      </c>
    </row>
    <row r="20" spans="1:42" ht="14.25" customHeight="1">
      <c r="AL20" s="1504"/>
      <c r="AM20" s="1504"/>
      <c r="AN20" s="1504"/>
      <c r="AO20" s="1504"/>
      <c r="AP20" s="1504"/>
    </row>
    <row r="21" spans="1:42" ht="14.25" customHeight="1">
      <c r="O21" s="1223" t="s">
        <v>552</v>
      </c>
      <c r="X21" s="1223"/>
      <c r="Z21" s="1223"/>
      <c r="AF21" s="1223"/>
      <c r="AH21" s="1223"/>
      <c r="AL21" s="1504"/>
      <c r="AM21" s="1504"/>
      <c r="AN21" s="1504"/>
      <c r="AO21" s="1504"/>
      <c r="AP21" s="1504"/>
    </row>
    <row r="22" spans="1:42" ht="14.25" customHeight="1">
      <c r="AL22" s="1504"/>
      <c r="AM22" s="1504"/>
      <c r="AN22" s="1504"/>
      <c r="AO22" s="1504"/>
      <c r="AP22" s="1504"/>
    </row>
    <row r="23" spans="1:42" s="14438" customFormat="1" ht="14.25" customHeight="1">
      <c r="A23" s="1832"/>
      <c r="B23" s="1832"/>
      <c r="C23" s="1832"/>
      <c r="D23" s="1832"/>
      <c r="E23" s="1832"/>
      <c r="F23" s="1832"/>
      <c r="G23" s="1832"/>
      <c r="H23" s="1832"/>
      <c r="I23" s="1832"/>
      <c r="J23" s="1832"/>
      <c r="K23" s="1832"/>
      <c r="L23" s="1832"/>
      <c r="M23" s="1833"/>
      <c r="N23" s="1833"/>
      <c r="O23" s="1834" t="s">
        <v>553</v>
      </c>
      <c r="P23" s="1379"/>
      <c r="Q23" s="1381"/>
      <c r="R23" s="1381"/>
      <c r="Y23" s="1378" t="s">
        <v>555</v>
      </c>
      <c r="AA23" s="1378" t="s">
        <v>556</v>
      </c>
      <c r="AC23" s="1378" t="s">
        <v>604</v>
      </c>
      <c r="AG23" s="1378" t="s">
        <v>555</v>
      </c>
      <c r="AI23" s="1378" t="s">
        <v>556</v>
      </c>
      <c r="AL23" s="1382"/>
      <c r="AM23" s="1382"/>
      <c r="AN23" s="1382"/>
      <c r="AO23" s="1382"/>
      <c r="AP23" s="1382"/>
    </row>
    <row r="24" spans="1:42" ht="14.25" customHeight="1">
      <c r="O24" s="1189"/>
      <c r="AL24" s="1504"/>
      <c r="AM24" s="1504"/>
      <c r="AN24" s="1504"/>
      <c r="AO24" s="1504"/>
      <c r="AP24" s="1504"/>
    </row>
    <row r="25" spans="1:42" ht="14.25" customHeight="1">
      <c r="O25" s="1189"/>
      <c r="AL25" s="1504"/>
      <c r="AM25" s="1504"/>
      <c r="AN25" s="1504"/>
      <c r="AO25" s="1504"/>
      <c r="AP25" s="1504"/>
    </row>
    <row r="26" spans="1:42" ht="14.25" customHeight="1">
      <c r="Q26" s="208"/>
      <c r="R26" s="291"/>
      <c r="S26" s="1157"/>
      <c r="T26" s="366"/>
      <c r="U26" s="366"/>
      <c r="V26" s="1498"/>
      <c r="W26" s="1498"/>
      <c r="X26" s="1498"/>
      <c r="Y26" s="1498"/>
      <c r="Z26" s="1498"/>
      <c r="AA26" s="1498"/>
      <c r="AB26" s="1498"/>
      <c r="AC26" s="1498"/>
      <c r="AD26" s="1498"/>
      <c r="AE26" s="1498"/>
      <c r="AF26" s="1498"/>
      <c r="AG26" s="1498"/>
      <c r="AH26" s="1498"/>
      <c r="AI26" s="1498"/>
    </row>
    <row r="27" spans="1:42" ht="38.25" customHeight="1">
      <c r="Q27" s="208"/>
      <c r="R27" s="291"/>
      <c r="S27" s="1610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6108"/>
      <c r="U27" s="16108"/>
      <c r="V27" s="16108"/>
      <c r="W27" s="16108"/>
      <c r="X27" s="16108"/>
      <c r="Y27" s="16108"/>
      <c r="Z27" s="16108"/>
      <c r="AA27" s="16108"/>
      <c r="AB27" s="16108"/>
      <c r="AC27" s="16108"/>
      <c r="AD27" s="16108"/>
      <c r="AE27" s="16108"/>
      <c r="AF27" s="16108"/>
      <c r="AG27" s="16108"/>
      <c r="AH27" s="16108"/>
      <c r="AI27" s="1125"/>
    </row>
    <row r="28" spans="1:42" ht="14.25" customHeight="1">
      <c r="Q28" s="208"/>
      <c r="R28" s="291"/>
      <c r="S28" s="16056" t="str">
        <f>IF(org=0,"Не определено",org)</f>
        <v>АО "Мурманэнергосбыт"</v>
      </c>
      <c r="T28" s="16056"/>
      <c r="U28" s="16056"/>
      <c r="V28" s="16056"/>
      <c r="W28" s="16056"/>
      <c r="X28" s="16056"/>
      <c r="Y28" s="16056"/>
      <c r="Z28" s="16056"/>
      <c r="AA28" s="16056"/>
      <c r="AB28" s="16056"/>
      <c r="AC28" s="16056"/>
      <c r="AD28" s="16056"/>
      <c r="AE28" s="16056"/>
      <c r="AF28" s="16056"/>
      <c r="AG28" s="16056"/>
      <c r="AH28" s="16056"/>
      <c r="AI28" s="1125"/>
    </row>
    <row r="29" spans="1:42" ht="14.25" hidden="1" customHeight="1">
      <c r="Q29" s="208"/>
      <c r="R29" s="291"/>
      <c r="S29" s="1157"/>
      <c r="T29" s="366"/>
      <c r="U29" s="366"/>
      <c r="V29" s="239"/>
      <c r="W29" s="239"/>
      <c r="X29" s="239"/>
      <c r="Y29" s="239"/>
      <c r="Z29" s="239"/>
      <c r="AA29" s="239"/>
      <c r="AB29" s="239"/>
      <c r="AC29" s="239"/>
      <c r="AD29" s="239"/>
      <c r="AE29" s="239"/>
      <c r="AF29" s="239"/>
      <c r="AG29" s="239"/>
      <c r="AH29" s="239"/>
      <c r="AI29" s="239"/>
      <c r="AJ29" s="1498"/>
    </row>
    <row r="30" spans="1:42" s="14420" customFormat="1" ht="25.5" hidden="1" customHeight="1">
      <c r="A30" s="1130"/>
      <c r="B30" s="1130"/>
      <c r="C30" s="1130"/>
      <c r="D30" s="1130"/>
      <c r="E30" s="1130"/>
      <c r="F30" s="1130"/>
      <c r="G30" s="1130"/>
      <c r="H30" s="1130"/>
      <c r="I30" s="1130"/>
      <c r="J30" s="1130"/>
      <c r="K30" s="1130"/>
      <c r="L30" s="1257"/>
      <c r="M30" s="1130"/>
      <c r="N30" s="1130"/>
      <c r="O30" s="1130"/>
      <c r="P30" s="1245"/>
      <c r="Q30" s="1245"/>
      <c r="S30" s="16116" t="s">
        <v>38</v>
      </c>
      <c r="T30" s="16116"/>
      <c r="U30" s="1249"/>
      <c r="V30" s="16117" t="str">
        <f>IF(TITLE_NAME_OR_PR_CHANGE="",IF(TITLE_NAME_OR_PR="","",TITLE_NAME_OR_PR),TITLE_NAME_OR_PR_CHANGE)</f>
        <v>Комитет по тарифному регулированию Мурманской области</v>
      </c>
      <c r="W30" s="16117"/>
      <c r="X30" s="16117"/>
      <c r="Y30" s="16117"/>
      <c r="Z30" s="16117"/>
      <c r="AA30" s="1498"/>
      <c r="AB30" s="1498"/>
      <c r="AC30" s="16117"/>
      <c r="AD30" s="16117"/>
      <c r="AE30" s="16117"/>
      <c r="AF30" s="16117"/>
      <c r="AG30" s="16117"/>
      <c r="AH30" s="16117"/>
      <c r="AI30" s="1498"/>
      <c r="AJ30" s="1498"/>
      <c r="AK30" s="198"/>
      <c r="AL30" s="283"/>
      <c r="AM30" s="283"/>
      <c r="AN30" s="283"/>
      <c r="AO30" s="283"/>
      <c r="AP30" s="283"/>
    </row>
    <row r="31" spans="1:42" s="14420" customFormat="1" ht="18.75" hidden="1" customHeight="1">
      <c r="A31" s="1130"/>
      <c r="B31" s="1130"/>
      <c r="C31" s="1130"/>
      <c r="D31" s="1130"/>
      <c r="E31" s="1130"/>
      <c r="F31" s="1130"/>
      <c r="G31" s="1130"/>
      <c r="H31" s="1130"/>
      <c r="I31" s="1130"/>
      <c r="J31" s="1130"/>
      <c r="K31" s="1130"/>
      <c r="L31" s="1257"/>
      <c r="M31" s="1130"/>
      <c r="N31" s="1130"/>
      <c r="O31" s="1130"/>
      <c r="P31" s="1245"/>
      <c r="Q31" s="1245"/>
      <c r="S31" s="16116" t="s">
        <v>558</v>
      </c>
      <c r="T31" s="16116"/>
      <c r="U31" s="1249"/>
      <c r="V31" s="16126">
        <f>IF(TITLE_DATE_PR_CHANGE="",IF(TITLE_DATE_PR="","",TITLE_DATE_PR),TITLE_DATE_PR_CHANGE)</f>
        <v>45379</v>
      </c>
      <c r="W31" s="16126"/>
      <c r="X31" s="16126"/>
      <c r="Y31" s="16126"/>
      <c r="Z31" s="16126"/>
      <c r="AA31" s="1498"/>
      <c r="AB31" s="1498"/>
      <c r="AC31" s="16126"/>
      <c r="AD31" s="16126"/>
      <c r="AE31" s="16126"/>
      <c r="AF31" s="16126"/>
      <c r="AG31" s="16126"/>
      <c r="AH31" s="16126"/>
      <c r="AI31" s="1498"/>
      <c r="AJ31" s="1498"/>
      <c r="AK31" s="198"/>
      <c r="AL31" s="283"/>
      <c r="AM31" s="283"/>
      <c r="AN31" s="283"/>
      <c r="AO31" s="283"/>
      <c r="AP31" s="283"/>
    </row>
    <row r="32" spans="1:42" s="14420" customFormat="1" ht="18.75" hidden="1" customHeight="1">
      <c r="A32" s="1130"/>
      <c r="B32" s="1130"/>
      <c r="C32" s="1130"/>
      <c r="D32" s="1130"/>
      <c r="E32" s="1130"/>
      <c r="F32" s="1130"/>
      <c r="G32" s="1130"/>
      <c r="H32" s="1130"/>
      <c r="I32" s="1130"/>
      <c r="J32" s="1130"/>
      <c r="K32" s="1130"/>
      <c r="L32" s="1257"/>
      <c r="M32" s="1130"/>
      <c r="N32" s="1130"/>
      <c r="O32" s="1130"/>
      <c r="P32" s="1245"/>
      <c r="Q32" s="1245"/>
      <c r="S32" s="16116" t="s">
        <v>559</v>
      </c>
      <c r="T32" s="16116"/>
      <c r="U32" s="1249"/>
      <c r="V32" s="16117" t="str">
        <f>IF(TITLE_NUMBER_PR_CHANGE="",IF(TITLE_NUMBER_PR="","",TITLE_NUMBER_PR),TITLE_NUMBER_PR_CHANGE)</f>
        <v>8/6</v>
      </c>
      <c r="W32" s="16117"/>
      <c r="X32" s="16117"/>
      <c r="Y32" s="16117"/>
      <c r="Z32" s="16117"/>
      <c r="AA32" s="1498"/>
      <c r="AB32" s="1498"/>
      <c r="AC32" s="16117"/>
      <c r="AD32" s="16117"/>
      <c r="AE32" s="16117"/>
      <c r="AF32" s="16117"/>
      <c r="AG32" s="16117"/>
      <c r="AH32" s="16117"/>
      <c r="AI32" s="1498"/>
      <c r="AJ32" s="1498"/>
      <c r="AK32" s="198"/>
      <c r="AL32" s="283"/>
      <c r="AM32" s="283"/>
      <c r="AN32" s="283"/>
      <c r="AO32" s="283"/>
      <c r="AP32" s="283"/>
    </row>
    <row r="33" spans="1:42" s="14420" customFormat="1" ht="18.75" hidden="1" customHeight="1">
      <c r="A33" s="1130"/>
      <c r="B33" s="1130"/>
      <c r="C33" s="1130"/>
      <c r="D33" s="1130"/>
      <c r="E33" s="1130"/>
      <c r="F33" s="1130"/>
      <c r="G33" s="1130"/>
      <c r="H33" s="1130"/>
      <c r="I33" s="1130"/>
      <c r="J33" s="1130"/>
      <c r="K33" s="1130"/>
      <c r="L33" s="1257"/>
      <c r="M33" s="1130"/>
      <c r="N33" s="1130"/>
      <c r="O33" s="1130"/>
      <c r="P33" s="1245"/>
      <c r="Q33" s="1245"/>
      <c r="S33" s="16116" t="s">
        <v>40</v>
      </c>
      <c r="T33" s="16116"/>
      <c r="U33" s="1249"/>
      <c r="V33" s="16117" t="str">
        <f>IF(TITLE_IST_PUB_CHANGE="",IF(TITLE_IST_PUB="","",TITLE_IST_PUB),TITLE_IST_PUB_CHANGE)</f>
        <v>https://npa.gov-murman.ru/bitrix/components/b1team/govmurman.element.file/download.php?ID=518761&amp;FID=765125</v>
      </c>
      <c r="W33" s="16117"/>
      <c r="X33" s="16117"/>
      <c r="Y33" s="16117"/>
      <c r="Z33" s="16117"/>
      <c r="AA33" s="1498"/>
      <c r="AB33" s="1498"/>
      <c r="AC33" s="16117"/>
      <c r="AD33" s="16117"/>
      <c r="AE33" s="16117"/>
      <c r="AF33" s="16117"/>
      <c r="AG33" s="16117"/>
      <c r="AH33" s="16117"/>
      <c r="AI33" s="1498"/>
      <c r="AJ33" s="1498"/>
      <c r="AK33" s="198"/>
      <c r="AL33" s="283"/>
      <c r="AM33" s="283"/>
      <c r="AN33" s="283"/>
      <c r="AO33" s="283"/>
      <c r="AP33" s="283"/>
    </row>
    <row r="34" spans="1:42" ht="14.25" hidden="1" customHeight="1">
      <c r="Q34" s="208"/>
      <c r="R34" s="291"/>
      <c r="S34" s="1157"/>
      <c r="T34" s="366"/>
      <c r="U34" s="366"/>
      <c r="V34" s="239"/>
      <c r="W34" s="239"/>
      <c r="X34" s="239"/>
      <c r="Y34" s="239"/>
      <c r="Z34" s="239"/>
      <c r="AA34" s="239"/>
      <c r="AB34" s="239"/>
      <c r="AC34" s="239"/>
      <c r="AD34" s="239"/>
      <c r="AE34" s="239"/>
      <c r="AF34" s="239"/>
      <c r="AG34" s="239"/>
      <c r="AH34" s="239"/>
      <c r="AI34" s="239"/>
      <c r="AJ34" s="1498"/>
    </row>
    <row r="35" spans="1:42" s="14420" customFormat="1" ht="18.75" hidden="1" customHeight="1">
      <c r="A35" s="1130"/>
      <c r="B35" s="1130"/>
      <c r="C35" s="1130"/>
      <c r="D35" s="1130"/>
      <c r="E35" s="1130"/>
      <c r="F35" s="1130"/>
      <c r="G35" s="1130"/>
      <c r="H35" s="1130"/>
      <c r="I35" s="1130"/>
      <c r="J35" s="1130"/>
      <c r="K35" s="1130"/>
      <c r="L35" s="1257"/>
      <c r="M35" s="1130"/>
      <c r="N35" s="1130"/>
      <c r="O35" s="1130"/>
      <c r="P35" s="1245"/>
      <c r="Q35" s="1245"/>
      <c r="S35" s="16116" t="s">
        <v>558</v>
      </c>
      <c r="T35" s="16116"/>
      <c r="U35" s="1249"/>
      <c r="V35" s="16126">
        <f>IF(TITLE_DATE_PR_CHANGE="",IF(TITLE_DATE_PR="","",TITLE_DATE_PR),TITLE_DATE_PR_CHANGE)</f>
        <v>45379</v>
      </c>
      <c r="W35" s="16126"/>
      <c r="X35" s="16126"/>
      <c r="Y35" s="16126"/>
      <c r="Z35" s="16126"/>
      <c r="AA35" s="1498"/>
      <c r="AB35" s="1498"/>
      <c r="AC35" s="16126"/>
      <c r="AD35" s="16126"/>
      <c r="AE35" s="16126"/>
      <c r="AF35" s="16126"/>
      <c r="AG35" s="16126"/>
      <c r="AH35" s="16126"/>
      <c r="AI35" s="1498"/>
      <c r="AJ35" s="1498"/>
      <c r="AK35" s="198"/>
      <c r="AL35" s="283"/>
      <c r="AM35" s="283"/>
      <c r="AN35" s="283"/>
      <c r="AO35" s="283"/>
      <c r="AP35" s="283"/>
    </row>
    <row r="36" spans="1:42" s="14420" customFormat="1" ht="18" hidden="1" customHeight="1">
      <c r="A36" s="1130"/>
      <c r="B36" s="1130"/>
      <c r="C36" s="1130"/>
      <c r="D36" s="1130"/>
      <c r="E36" s="1130"/>
      <c r="F36" s="1130"/>
      <c r="G36" s="1130"/>
      <c r="H36" s="1130"/>
      <c r="I36" s="1130"/>
      <c r="J36" s="1130"/>
      <c r="K36" s="1130"/>
      <c r="L36" s="1257"/>
      <c r="M36" s="1130"/>
      <c r="N36" s="1130"/>
      <c r="O36" s="1130"/>
      <c r="P36" s="1245"/>
      <c r="Q36" s="1245"/>
      <c r="S36" s="16116" t="s">
        <v>559</v>
      </c>
      <c r="T36" s="16116"/>
      <c r="U36" s="1249"/>
      <c r="V36" s="16117" t="str">
        <f>IF(TITLE_NUMBER_PR_CHANGE="",IF(TITLE_NUMBER_PR="","",TITLE_NUMBER_PR),TITLE_NUMBER_PR_CHANGE)</f>
        <v>8/6</v>
      </c>
      <c r="W36" s="16117"/>
      <c r="X36" s="16117"/>
      <c r="Y36" s="16117"/>
      <c r="Z36" s="16117"/>
      <c r="AA36" s="1498"/>
      <c r="AB36" s="1498"/>
      <c r="AC36" s="16117"/>
      <c r="AD36" s="16117"/>
      <c r="AE36" s="16117"/>
      <c r="AF36" s="16117"/>
      <c r="AG36" s="16117"/>
      <c r="AH36" s="16117"/>
      <c r="AI36" s="1498"/>
      <c r="AJ36" s="1498"/>
      <c r="AK36" s="198"/>
      <c r="AL36" s="283"/>
      <c r="AM36" s="283"/>
      <c r="AN36" s="283"/>
      <c r="AO36" s="283"/>
      <c r="AP36" s="283"/>
    </row>
    <row r="37" spans="1:42" s="14420" customFormat="1" ht="0.75" customHeight="1">
      <c r="A37" s="1130"/>
      <c r="B37" s="1130"/>
      <c r="C37" s="1130"/>
      <c r="D37" s="1130"/>
      <c r="E37" s="1130"/>
      <c r="F37" s="1130"/>
      <c r="G37" s="1130"/>
      <c r="H37" s="1130"/>
      <c r="I37" s="1130"/>
      <c r="J37" s="1130"/>
      <c r="K37" s="1130"/>
      <c r="L37" s="1257"/>
      <c r="M37" s="1130"/>
      <c r="N37" s="1130"/>
      <c r="O37" s="1130"/>
      <c r="P37" s="1245"/>
      <c r="Q37" s="1245"/>
      <c r="S37" s="1498"/>
      <c r="T37" s="1498"/>
      <c r="U37" s="1830"/>
      <c r="V37" s="1498"/>
      <c r="W37" s="1498"/>
      <c r="X37" s="1498"/>
      <c r="Y37" s="1498"/>
      <c r="Z37" s="1498"/>
      <c r="AA37" s="1505" t="s">
        <v>562</v>
      </c>
      <c r="AB37" s="1505"/>
      <c r="AC37" s="1498"/>
      <c r="AD37" s="1498"/>
      <c r="AE37" s="1498"/>
      <c r="AF37" s="1498"/>
      <c r="AG37" s="1498"/>
      <c r="AH37" s="1498"/>
      <c r="AI37" s="1505" t="s">
        <v>562</v>
      </c>
      <c r="AL37" s="283"/>
      <c r="AM37" s="283"/>
      <c r="AN37" s="283"/>
      <c r="AO37" s="283"/>
      <c r="AP37" s="283"/>
    </row>
    <row r="38" spans="1:42" ht="14.25" customHeight="1">
      <c r="Q38" s="208"/>
      <c r="R38" s="291"/>
      <c r="S38" s="1157"/>
      <c r="T38" s="366"/>
      <c r="U38" s="1126"/>
      <c r="V38" s="16118"/>
      <c r="W38" s="16118"/>
      <c r="X38" s="16118"/>
      <c r="Y38" s="16118"/>
      <c r="Z38" s="16118"/>
      <c r="AA38" s="16118"/>
      <c r="AB38" s="1817"/>
      <c r="AC38" s="16118"/>
      <c r="AD38" s="16118"/>
      <c r="AE38" s="16118"/>
      <c r="AF38" s="16118"/>
      <c r="AG38" s="16118"/>
      <c r="AH38" s="16118"/>
      <c r="AI38" s="16118"/>
    </row>
    <row r="39" spans="1:42" ht="14.25" customHeight="1">
      <c r="Q39" s="208"/>
      <c r="R39" s="291"/>
      <c r="S39" s="15992" t="s">
        <v>437</v>
      </c>
      <c r="T39" s="15992"/>
      <c r="U39" s="15992"/>
      <c r="V39" s="15992"/>
      <c r="W39" s="15992"/>
      <c r="X39" s="15992"/>
      <c r="Y39" s="15992"/>
      <c r="Z39" s="15992"/>
      <c r="AA39" s="16055"/>
      <c r="AB39" s="16055"/>
      <c r="AC39" s="16055"/>
      <c r="AD39" s="15992"/>
      <c r="AE39" s="15992"/>
      <c r="AF39" s="15992"/>
      <c r="AG39" s="15992"/>
      <c r="AH39" s="15992"/>
      <c r="AI39" s="15992"/>
      <c r="AJ39" s="15992"/>
      <c r="AK39" s="15992" t="s">
        <v>438</v>
      </c>
    </row>
    <row r="40" spans="1:42" ht="14.25" customHeight="1">
      <c r="Q40" s="208"/>
      <c r="R40" s="291"/>
      <c r="S40" s="16132" t="s">
        <v>87</v>
      </c>
      <c r="T40" s="16084" t="s">
        <v>634</v>
      </c>
      <c r="U40" s="254"/>
      <c r="V40" s="16134"/>
      <c r="W40" s="16134"/>
      <c r="X40" s="16134"/>
      <c r="Y40" s="16134"/>
      <c r="Z40" s="16134"/>
      <c r="AA40" s="16084" t="s">
        <v>565</v>
      </c>
      <c r="AB40" s="16083" t="s">
        <v>635</v>
      </c>
      <c r="AC40" s="16083" t="s">
        <v>608</v>
      </c>
      <c r="AD40" s="16150" t="s">
        <v>564</v>
      </c>
      <c r="AE40" s="16150"/>
      <c r="AF40" s="16134"/>
      <c r="AG40" s="16134"/>
      <c r="AH40" s="16135"/>
      <c r="AI40" s="16136" t="s">
        <v>565</v>
      </c>
      <c r="AJ40" s="16139" t="s">
        <v>567</v>
      </c>
      <c r="AK40" s="15992"/>
    </row>
    <row r="41" spans="1:42" ht="33.75" customHeight="1">
      <c r="Q41" s="208"/>
      <c r="R41" s="291"/>
      <c r="S41" s="16132"/>
      <c r="T41" s="16084"/>
      <c r="U41" s="919"/>
      <c r="V41" s="16070" t="s">
        <v>611</v>
      </c>
      <c r="W41" s="16071"/>
      <c r="X41" s="16070" t="s">
        <v>571</v>
      </c>
      <c r="Y41" s="16157"/>
      <c r="Z41" s="16157"/>
      <c r="AA41" s="16084"/>
      <c r="AB41" s="16083"/>
      <c r="AC41" s="16083"/>
      <c r="AD41" s="15962" t="s">
        <v>612</v>
      </c>
      <c r="AE41" s="15992"/>
      <c r="AF41" s="16157" t="s">
        <v>571</v>
      </c>
      <c r="AG41" s="16157"/>
      <c r="AH41" s="16071"/>
      <c r="AI41" s="16137"/>
      <c r="AJ41" s="16140"/>
      <c r="AK41" s="15992"/>
    </row>
    <row r="42" spans="1:42" ht="14.25" customHeight="1">
      <c r="Q42" s="208"/>
      <c r="R42" s="291"/>
      <c r="S42" s="16132"/>
      <c r="T42" s="16084"/>
      <c r="U42" s="919"/>
      <c r="V42" s="16075"/>
      <c r="W42" s="16076"/>
      <c r="X42" s="16075"/>
      <c r="Y42" s="16158"/>
      <c r="Z42" s="16158"/>
      <c r="AA42" s="16084"/>
      <c r="AB42" s="16083"/>
      <c r="AC42" s="16083"/>
      <c r="AD42" s="16189"/>
      <c r="AE42" s="16173"/>
      <c r="AF42" s="16158"/>
      <c r="AG42" s="16158"/>
      <c r="AH42" s="16076"/>
      <c r="AI42" s="16137"/>
      <c r="AJ42" s="16140"/>
      <c r="AK42" s="15992"/>
    </row>
    <row r="43" spans="1:42" ht="14.25" customHeight="1">
      <c r="A43" s="1148"/>
      <c r="B43" s="1148" t="s">
        <v>170</v>
      </c>
      <c r="C43" s="1148" t="s">
        <v>171</v>
      </c>
      <c r="D43" s="1148" t="s">
        <v>172</v>
      </c>
      <c r="E43" s="1189" t="s">
        <v>572</v>
      </c>
      <c r="F43" s="1189" t="s">
        <v>573</v>
      </c>
      <c r="G43" s="1189" t="s">
        <v>574</v>
      </c>
      <c r="H43" s="1189" t="s">
        <v>575</v>
      </c>
      <c r="I43" s="1189" t="s">
        <v>576</v>
      </c>
      <c r="J43" s="1189" t="s">
        <v>577</v>
      </c>
      <c r="K43" s="1189" t="s">
        <v>578</v>
      </c>
      <c r="L43" s="1189" t="s">
        <v>553</v>
      </c>
      <c r="Q43" s="208"/>
      <c r="R43" s="291"/>
      <c r="S43" s="16132"/>
      <c r="T43" s="16084"/>
      <c r="U43" s="219"/>
      <c r="V43" s="1810" t="s">
        <v>613</v>
      </c>
      <c r="W43" s="1810" t="s">
        <v>614</v>
      </c>
      <c r="X43" s="1798" t="s">
        <v>581</v>
      </c>
      <c r="Y43" s="16092" t="s">
        <v>582</v>
      </c>
      <c r="Z43" s="16093"/>
      <c r="AA43" s="16084"/>
      <c r="AB43" s="16083"/>
      <c r="AC43" s="16083"/>
      <c r="AD43" s="1828" t="s">
        <v>613</v>
      </c>
      <c r="AE43" s="1819" t="s">
        <v>614</v>
      </c>
      <c r="AF43" s="1798" t="s">
        <v>581</v>
      </c>
      <c r="AG43" s="16092" t="s">
        <v>582</v>
      </c>
      <c r="AH43" s="16094"/>
      <c r="AI43" s="16138"/>
      <c r="AJ43" s="16141"/>
      <c r="AK43" s="15992"/>
    </row>
    <row r="44" spans="1:42" s="14431" customFormat="1" ht="11.25" hidden="1" customHeight="1">
      <c r="A44" s="1148"/>
      <c r="B44" s="1148"/>
      <c r="C44" s="1148"/>
      <c r="D44" s="1148"/>
      <c r="E44" s="1148"/>
      <c r="F44" s="1148"/>
      <c r="G44" s="1148"/>
      <c r="H44" s="1148"/>
      <c r="I44" s="1148"/>
      <c r="J44" s="1148"/>
      <c r="K44" s="1148"/>
      <c r="L44" s="1189"/>
      <c r="M44" s="1825"/>
      <c r="N44" s="1825"/>
      <c r="O44" s="1825"/>
      <c r="P44" s="417"/>
      <c r="Q44" s="1136"/>
      <c r="R44" s="1136">
        <v>1</v>
      </c>
      <c r="S44" s="1159" t="s">
        <v>147</v>
      </c>
      <c r="T44" s="1137" t="s">
        <v>102</v>
      </c>
      <c r="U44" s="1127" t="str">
        <f ca="1">OFFSET(U44,0,-1)</f>
        <v>2</v>
      </c>
      <c r="V44" s="1816">
        <f ca="1">OFFSET(V44,0,-1)+1</f>
        <v>3</v>
      </c>
      <c r="W44" s="1816">
        <f ca="1">OFFSET(W44,0,-1)+1</f>
        <v>4</v>
      </c>
      <c r="X44" s="1816">
        <f ca="1">OFFSET(X44,0,-1)+1</f>
        <v>5</v>
      </c>
      <c r="Y44" s="16131">
        <f ca="1">OFFSET(Y44,0,-1)+1</f>
        <v>6</v>
      </c>
      <c r="Z44" s="16131"/>
      <c r="AA44" s="1219">
        <f ca="1">OFFSET(AA44,0,-2)+1</f>
        <v>7</v>
      </c>
      <c r="AB44" s="1219"/>
      <c r="AC44" s="1219"/>
      <c r="AD44" s="1816">
        <f ca="1">OFFSET(AD44,0,-1)+1</f>
        <v>1</v>
      </c>
      <c r="AE44" s="1816">
        <f ca="1">OFFSET(AE44,0,-1)+1</f>
        <v>2</v>
      </c>
      <c r="AF44" s="1816">
        <f ca="1">OFFSET(AF44,0,-1)+1</f>
        <v>3</v>
      </c>
      <c r="AG44" s="16131">
        <f ca="1">OFFSET(AG44,0,-1)+1</f>
        <v>4</v>
      </c>
      <c r="AH44" s="16131"/>
      <c r="AI44" s="1816">
        <f ca="1">OFFSET(AI44,0,-2)+1</f>
        <v>5</v>
      </c>
      <c r="AJ44" s="1127">
        <f ca="1">OFFSET(AJ44,0,-1)</f>
        <v>5</v>
      </c>
      <c r="AK44" s="1816">
        <f ca="1">OFFSET(AK44,0,-1)+1</f>
        <v>6</v>
      </c>
      <c r="AL44" s="1499"/>
      <c r="AM44" s="1499"/>
      <c r="AN44" s="1499"/>
      <c r="AO44" s="1499"/>
      <c r="AP44" s="1499"/>
    </row>
    <row r="45" spans="1:42" ht="102" customHeight="1">
      <c r="A45" s="1149" t="s">
        <v>235</v>
      </c>
      <c r="B45" s="1149"/>
      <c r="C45" s="1149"/>
      <c r="D45" s="1149"/>
      <c r="E45" s="16148">
        <v>1</v>
      </c>
      <c r="F45" s="1149"/>
      <c r="G45" s="1149"/>
      <c r="H45" s="1149"/>
      <c r="I45" s="1149"/>
      <c r="J45" s="1149"/>
      <c r="K45" s="1149"/>
      <c r="L45" s="1189"/>
      <c r="M45" s="1476"/>
      <c r="N45" s="1476"/>
      <c r="O45" s="1476"/>
      <c r="P45" s="1286"/>
      <c r="Q45" s="767"/>
      <c r="R45" s="271"/>
      <c r="S45" s="1818">
        <f>INDEX(PT_DIFFERENTIATION_NUM_NTAR,MATCH(A45,PT_DIFFERENTIATION_NTAR_ID,0))</f>
        <v>0</v>
      </c>
      <c r="T45" s="1396" t="s">
        <v>158</v>
      </c>
      <c r="U45" s="217"/>
      <c r="V45" s="16111"/>
      <c r="W45" s="16111"/>
      <c r="X45" s="16111"/>
      <c r="Y45" s="16111"/>
      <c r="Z45" s="16111"/>
      <c r="AA45" s="16112"/>
      <c r="AB45" s="1812"/>
      <c r="AC45" s="16111"/>
      <c r="AD45" s="16111"/>
      <c r="AE45" s="16111"/>
      <c r="AF45" s="16111"/>
      <c r="AG45" s="16111"/>
      <c r="AH45" s="16111"/>
      <c r="AI45" s="16111"/>
      <c r="AJ45" s="16112"/>
      <c r="AK45" s="114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487"/>
      <c r="AN45" s="1487" t="str">
        <f t="shared" ref="AN45:AN59" si="2">IF(T45="","",T45)</f>
        <v>Наименование тарифа</v>
      </c>
      <c r="AO45" s="1487"/>
      <c r="AP45" s="1487"/>
    </row>
    <row r="46" spans="1:42" ht="21" customHeight="1">
      <c r="A46" s="1149" t="s">
        <v>235</v>
      </c>
      <c r="B46" s="1149" t="s">
        <v>236</v>
      </c>
      <c r="C46" s="1149"/>
      <c r="D46" s="1149"/>
      <c r="E46" s="16149"/>
      <c r="F46" s="16148">
        <v>1</v>
      </c>
      <c r="G46" s="1149"/>
      <c r="H46" s="1149"/>
      <c r="I46" s="1149"/>
      <c r="J46" s="1149"/>
      <c r="K46" s="1149"/>
      <c r="L46" s="1189"/>
      <c r="M46" s="1476"/>
      <c r="N46" s="1476"/>
      <c r="O46" s="1476"/>
      <c r="P46" s="1829"/>
      <c r="Q46" s="1288"/>
      <c r="R46" s="269"/>
      <c r="S46" s="1818" t="str">
        <f>INDEX(PT_DIFFERENTIATION_NUM_TER,MATCH(B46,PT_DIFFERENTIATION_TER_ID,0))</f>
        <v>.</v>
      </c>
      <c r="T46" s="1393" t="s">
        <v>534</v>
      </c>
      <c r="U46" s="217"/>
      <c r="V46" s="16111"/>
      <c r="W46" s="16111"/>
      <c r="X46" s="16111"/>
      <c r="Y46" s="16111"/>
      <c r="Z46" s="16111"/>
      <c r="AA46" s="16112"/>
      <c r="AB46" s="1812"/>
      <c r="AC46" s="16111"/>
      <c r="AD46" s="16111"/>
      <c r="AE46" s="16111"/>
      <c r="AF46" s="16111"/>
      <c r="AG46" s="16111"/>
      <c r="AH46" s="16111"/>
      <c r="AI46" s="16111"/>
      <c r="AJ46" s="16112"/>
      <c r="AK46" s="1140" t="s">
        <v>535</v>
      </c>
      <c r="AM46" s="1487"/>
      <c r="AN46" s="1487" t="str">
        <f t="shared" si="2"/>
        <v>Территория действия тарифа</v>
      </c>
      <c r="AO46" s="1487"/>
      <c r="AP46" s="1487"/>
    </row>
    <row r="47" spans="1:42" ht="23.25" customHeight="1">
      <c r="A47" s="1149" t="s">
        <v>235</v>
      </c>
      <c r="B47" s="1149" t="s">
        <v>236</v>
      </c>
      <c r="C47" s="1149" t="s">
        <v>237</v>
      </c>
      <c r="D47" s="1149"/>
      <c r="E47" s="16149"/>
      <c r="F47" s="16149"/>
      <c r="G47" s="16148">
        <v>1</v>
      </c>
      <c r="H47" s="1149"/>
      <c r="I47" s="1149"/>
      <c r="J47" s="1149"/>
      <c r="K47" s="1149"/>
      <c r="L47" s="1189"/>
      <c r="M47" s="1476"/>
      <c r="N47" s="1476"/>
      <c r="O47" s="1476"/>
      <c r="P47" s="1289"/>
      <c r="Q47" s="1288"/>
      <c r="R47" s="269"/>
      <c r="S47" s="1818" t="str">
        <f>INDEX(PT_DIFFERENTIATION_NUM_CS,MATCH(C47,PT_DIFFERENTIATION_CS_ID,0))</f>
        <v>..</v>
      </c>
      <c r="T47" s="226" t="s">
        <v>536</v>
      </c>
      <c r="U47" s="217"/>
      <c r="V47" s="16111"/>
      <c r="W47" s="16111"/>
      <c r="X47" s="16111"/>
      <c r="Y47" s="16111"/>
      <c r="Z47" s="16111"/>
      <c r="AA47" s="16112"/>
      <c r="AB47" s="1812"/>
      <c r="AC47" s="16111"/>
      <c r="AD47" s="16111"/>
      <c r="AE47" s="16111"/>
      <c r="AF47" s="16111"/>
      <c r="AG47" s="16111"/>
      <c r="AH47" s="16111"/>
      <c r="AI47" s="16111"/>
      <c r="AJ47" s="16112"/>
      <c r="AK47" s="1140" t="s">
        <v>537</v>
      </c>
      <c r="AM47" s="1487"/>
      <c r="AN47" s="1487" t="str">
        <f t="shared" si="2"/>
        <v xml:space="preserve">Наименование системы теплоснабжения </v>
      </c>
      <c r="AO47" s="1487"/>
      <c r="AP47" s="1487"/>
    </row>
    <row r="48" spans="1:42" ht="21" customHeight="1">
      <c r="A48" s="1149" t="s">
        <v>235</v>
      </c>
      <c r="B48" s="1149" t="s">
        <v>236</v>
      </c>
      <c r="C48" s="1149" t="s">
        <v>237</v>
      </c>
      <c r="D48" s="1149" t="s">
        <v>238</v>
      </c>
      <c r="E48" s="16149"/>
      <c r="F48" s="16149"/>
      <c r="G48" s="16149"/>
      <c r="H48" s="16148">
        <v>1</v>
      </c>
      <c r="I48" s="1149"/>
      <c r="J48" s="1149"/>
      <c r="K48" s="1149"/>
      <c r="L48" s="1189"/>
      <c r="M48" s="1476"/>
      <c r="N48" s="1476"/>
      <c r="O48" s="1476"/>
      <c r="P48" s="1289"/>
      <c r="Q48" s="1288"/>
      <c r="R48" s="269"/>
      <c r="S48" s="1818" t="str">
        <f>INDEX(PT_DIFFERENTIATION_NUM_IST_TE,MATCH(D48,PT_DIFFERENTIATION_IST_TE_ID,0))</f>
        <v>...</v>
      </c>
      <c r="T48" s="227" t="s">
        <v>538</v>
      </c>
      <c r="U48" s="217"/>
      <c r="V48" s="16111"/>
      <c r="W48" s="16111"/>
      <c r="X48" s="16111"/>
      <c r="Y48" s="16111"/>
      <c r="Z48" s="16111"/>
      <c r="AA48" s="16112"/>
      <c r="AB48" s="1812"/>
      <c r="AC48" s="16111"/>
      <c r="AD48" s="16111"/>
      <c r="AE48" s="16111"/>
      <c r="AF48" s="16111"/>
      <c r="AG48" s="16111"/>
      <c r="AH48" s="16111"/>
      <c r="AI48" s="16111"/>
      <c r="AJ48" s="16112"/>
      <c r="AK48" s="1140" t="s">
        <v>539</v>
      </c>
      <c r="AM48" s="1487"/>
      <c r="AN48" s="1487" t="str">
        <f t="shared" si="2"/>
        <v xml:space="preserve">Источник тепловой энергии  </v>
      </c>
      <c r="AO48" s="1487"/>
      <c r="AP48" s="1487"/>
    </row>
    <row r="49" spans="1:42" s="14432" customFormat="1" ht="0" hidden="1" customHeight="1">
      <c r="A49" s="1252" t="s">
        <v>235</v>
      </c>
      <c r="B49" s="1252" t="s">
        <v>236</v>
      </c>
      <c r="C49" s="1252" t="s">
        <v>237</v>
      </c>
      <c r="D49" s="1252" t="s">
        <v>238</v>
      </c>
      <c r="E49" s="16149"/>
      <c r="F49" s="16149"/>
      <c r="G49" s="16149"/>
      <c r="H49" s="16149"/>
      <c r="I49" s="15992" t="str">
        <f>S48&amp;".1"</f>
        <v>....1</v>
      </c>
      <c r="J49" s="1252"/>
      <c r="K49" s="1252"/>
      <c r="L49" s="1258" t="s">
        <v>540</v>
      </c>
      <c r="M49" s="1128"/>
      <c r="N49" s="1128"/>
      <c r="O49" s="1128"/>
      <c r="P49" s="16123">
        <v>1</v>
      </c>
      <c r="Q49" s="1814"/>
      <c r="R49" s="272"/>
      <c r="S49" s="930"/>
      <c r="T49" s="1260"/>
      <c r="U49" s="1261"/>
      <c r="V49" s="16154"/>
      <c r="W49" s="16154"/>
      <c r="X49" s="16154"/>
      <c r="Y49" s="16154"/>
      <c r="Z49" s="16154"/>
      <c r="AA49" s="16155"/>
      <c r="AB49" s="1820"/>
      <c r="AC49" s="16154"/>
      <c r="AD49" s="16154"/>
      <c r="AE49" s="16154"/>
      <c r="AF49" s="16154"/>
      <c r="AG49" s="16154"/>
      <c r="AH49" s="16154"/>
      <c r="AI49" s="16154"/>
      <c r="AJ49" s="16155"/>
      <c r="AK49" s="1262"/>
      <c r="AM49" s="1487"/>
      <c r="AN49" s="1487" t="str">
        <f t="shared" si="2"/>
        <v/>
      </c>
      <c r="AO49" s="1487"/>
      <c r="AP49" s="1487"/>
    </row>
    <row r="50" spans="1:42" s="14432" customFormat="1" ht="0" hidden="1" customHeight="1">
      <c r="A50" s="1252" t="s">
        <v>235</v>
      </c>
      <c r="B50" s="1252" t="s">
        <v>236</v>
      </c>
      <c r="C50" s="1252" t="s">
        <v>237</v>
      </c>
      <c r="D50" s="1252" t="s">
        <v>238</v>
      </c>
      <c r="E50" s="16149"/>
      <c r="F50" s="16149"/>
      <c r="G50" s="16149"/>
      <c r="H50" s="16149"/>
      <c r="I50" s="15963"/>
      <c r="J50" s="15992" t="str">
        <f>S48&amp;".1"</f>
        <v>....1</v>
      </c>
      <c r="K50" s="1252"/>
      <c r="L50" s="1258"/>
      <c r="M50" s="1128"/>
      <c r="N50" s="1128"/>
      <c r="O50" s="1128"/>
      <c r="P50" s="16123"/>
      <c r="Q50" s="16123">
        <v>1</v>
      </c>
      <c r="R50" s="273"/>
      <c r="S50" s="930"/>
      <c r="T50" s="1276"/>
      <c r="U50" s="1261"/>
      <c r="V50" s="16154"/>
      <c r="W50" s="16154"/>
      <c r="X50" s="16154"/>
      <c r="Y50" s="16154"/>
      <c r="Z50" s="16154"/>
      <c r="AA50" s="16155"/>
      <c r="AB50" s="1820"/>
      <c r="AC50" s="16154"/>
      <c r="AD50" s="16154"/>
      <c r="AE50" s="16154"/>
      <c r="AF50" s="16154"/>
      <c r="AG50" s="16154"/>
      <c r="AH50" s="16154"/>
      <c r="AI50" s="16154"/>
      <c r="AJ50" s="16155"/>
      <c r="AK50" s="1262"/>
      <c r="AM50" s="1487"/>
      <c r="AN50" s="1487" t="str">
        <f t="shared" si="2"/>
        <v/>
      </c>
      <c r="AO50" s="1487"/>
      <c r="AP50" s="1487"/>
    </row>
    <row r="51" spans="1:42" ht="21" customHeight="1">
      <c r="A51" s="1149" t="s">
        <v>235</v>
      </c>
      <c r="B51" s="1149" t="s">
        <v>236</v>
      </c>
      <c r="C51" s="1149" t="s">
        <v>237</v>
      </c>
      <c r="D51" s="1149" t="s">
        <v>238</v>
      </c>
      <c r="E51" s="16149"/>
      <c r="F51" s="16149"/>
      <c r="G51" s="16149"/>
      <c r="H51" s="16149"/>
      <c r="I51" s="15963"/>
      <c r="J51" s="15963"/>
      <c r="K51" s="1801" t="str">
        <f>S48&amp;".1"</f>
        <v>....1</v>
      </c>
      <c r="L51" s="1189"/>
      <c r="P51" s="16123"/>
      <c r="Q51" s="16123"/>
      <c r="R51" s="273">
        <v>1</v>
      </c>
      <c r="S51" s="1822" t="str">
        <f>$K51</f>
        <v>....1</v>
      </c>
      <c r="T51" s="1821"/>
      <c r="U51" s="217"/>
      <c r="V51" s="649"/>
      <c r="W51" s="1139"/>
      <c r="X51" s="1815"/>
      <c r="Y51" s="1802" t="s">
        <v>66</v>
      </c>
      <c r="Z51" s="1815"/>
      <c r="AA51" s="1802" t="s">
        <v>66</v>
      </c>
      <c r="AB51" s="1824"/>
      <c r="AC51" s="1823" t="s">
        <v>24</v>
      </c>
      <c r="AD51" s="649"/>
      <c r="AE51" s="1139"/>
      <c r="AF51" s="1815"/>
      <c r="AG51" s="1802" t="s">
        <v>66</v>
      </c>
      <c r="AH51" s="1815"/>
      <c r="AI51" s="1802" t="s">
        <v>66</v>
      </c>
      <c r="AJ51" s="1226"/>
      <c r="AK51" s="16119" t="s">
        <v>615</v>
      </c>
      <c r="AL51" s="1499" t="e">
        <f ca="1">STRCHECKDATE(#REF!)</f>
        <v>#NAME?</v>
      </c>
      <c r="AM51" s="1487"/>
      <c r="AN51" s="1487" t="str">
        <f t="shared" si="2"/>
        <v/>
      </c>
      <c r="AO51" s="1487"/>
      <c r="AP51" s="1487"/>
    </row>
    <row r="52" spans="1:42" ht="11.25" customHeight="1">
      <c r="A52" s="1149" t="s">
        <v>235</v>
      </c>
      <c r="B52" s="1149" t="s">
        <v>236</v>
      </c>
      <c r="C52" s="1149" t="s">
        <v>237</v>
      </c>
      <c r="D52" s="1149" t="s">
        <v>238</v>
      </c>
      <c r="E52" s="16149"/>
      <c r="F52" s="16149"/>
      <c r="G52" s="16149"/>
      <c r="H52" s="16149"/>
      <c r="I52" s="15963"/>
      <c r="J52" s="15992"/>
      <c r="K52" s="1149"/>
      <c r="L52" s="1189"/>
      <c r="P52" s="16123"/>
      <c r="Q52" s="16123"/>
      <c r="R52" s="272"/>
      <c r="S52" s="1160"/>
      <c r="T52" s="204" t="s">
        <v>602</v>
      </c>
      <c r="U52" s="503"/>
      <c r="V52" s="503"/>
      <c r="W52" s="503"/>
      <c r="X52" s="503"/>
      <c r="Y52" s="503"/>
      <c r="Z52" s="503"/>
      <c r="AA52" s="241"/>
      <c r="AB52" s="503"/>
      <c r="AC52" s="503"/>
      <c r="AD52" s="503"/>
      <c r="AE52" s="503"/>
      <c r="AF52" s="503"/>
      <c r="AG52" s="503"/>
      <c r="AH52" s="503"/>
      <c r="AI52" s="503"/>
      <c r="AJ52" s="241"/>
      <c r="AK52" s="16121"/>
      <c r="AM52" s="1487"/>
      <c r="AN52" s="1487" t="str">
        <f t="shared" si="2"/>
        <v>Добавить строку</v>
      </c>
      <c r="AO52" s="1487"/>
      <c r="AP52" s="1487"/>
    </row>
    <row r="53" spans="1:42" s="14432" customFormat="1" ht="5.25" customHeight="1">
      <c r="A53" s="1252" t="s">
        <v>235</v>
      </c>
      <c r="B53" s="1252" t="s">
        <v>236</v>
      </c>
      <c r="C53" s="1252" t="s">
        <v>237</v>
      </c>
      <c r="D53" s="1252" t="s">
        <v>238</v>
      </c>
      <c r="E53" s="16149"/>
      <c r="F53" s="16149"/>
      <c r="G53" s="16149"/>
      <c r="H53" s="16149"/>
      <c r="I53" s="15992"/>
      <c r="J53" s="1252"/>
      <c r="K53" s="1252"/>
      <c r="L53" s="1258"/>
      <c r="M53" s="1128"/>
      <c r="N53" s="1128"/>
      <c r="O53" s="1128"/>
      <c r="P53" s="16123"/>
      <c r="Q53" s="1814"/>
      <c r="R53" s="272"/>
      <c r="S53" s="1263"/>
      <c r="T53" s="1264" t="s">
        <v>549</v>
      </c>
      <c r="U53" s="1265"/>
      <c r="V53" s="1265"/>
      <c r="W53" s="1265"/>
      <c r="X53" s="1265"/>
      <c r="Y53" s="1265"/>
      <c r="Z53" s="1265"/>
      <c r="AA53" s="1265"/>
      <c r="AB53" s="1265"/>
      <c r="AC53" s="1265"/>
      <c r="AD53" s="1265"/>
      <c r="AE53" s="1265"/>
      <c r="AF53" s="1265"/>
      <c r="AG53" s="1265"/>
      <c r="AH53" s="1265"/>
      <c r="AI53" s="1265"/>
      <c r="AJ53" s="1265"/>
      <c r="AK53" s="1266"/>
      <c r="AM53" s="1487"/>
      <c r="AN53" s="1487" t="str">
        <f t="shared" si="2"/>
        <v>Добавить группу потребителей</v>
      </c>
      <c r="AO53" s="1487"/>
      <c r="AP53" s="1487"/>
    </row>
    <row r="54" spans="1:42" s="14431" customFormat="1" ht="5.25" customHeight="1">
      <c r="A54" s="1252" t="s">
        <v>235</v>
      </c>
      <c r="B54" s="1252" t="s">
        <v>236</v>
      </c>
      <c r="C54" s="1252" t="s">
        <v>237</v>
      </c>
      <c r="D54" s="1252" t="s">
        <v>238</v>
      </c>
      <c r="E54" s="16149"/>
      <c r="F54" s="16149"/>
      <c r="G54" s="16149"/>
      <c r="H54" s="16148"/>
      <c r="I54" s="1252"/>
      <c r="J54" s="1252"/>
      <c r="K54" s="1252"/>
      <c r="L54" s="1258"/>
      <c r="M54" s="1255"/>
      <c r="N54" s="1255"/>
      <c r="O54" s="267"/>
      <c r="P54" s="295"/>
      <c r="Q54" s="1222"/>
      <c r="R54" s="1277"/>
      <c r="S54" s="1263"/>
      <c r="T54" s="1264"/>
      <c r="U54" s="1265"/>
      <c r="V54" s="1265"/>
      <c r="W54" s="1265"/>
      <c r="X54" s="1265"/>
      <c r="Y54" s="1265"/>
      <c r="Z54" s="1265"/>
      <c r="AA54" s="1265"/>
      <c r="AB54" s="1265"/>
      <c r="AC54" s="1265"/>
      <c r="AD54" s="1265"/>
      <c r="AE54" s="1265"/>
      <c r="AF54" s="1265"/>
      <c r="AG54" s="1265"/>
      <c r="AH54" s="1265"/>
      <c r="AI54" s="1265"/>
      <c r="AJ54" s="1265"/>
      <c r="AK54" s="1266"/>
      <c r="AL54" s="1499"/>
      <c r="AM54" s="1487"/>
      <c r="AN54" s="1487" t="str">
        <f t="shared" si="2"/>
        <v/>
      </c>
      <c r="AO54" s="1487"/>
      <c r="AP54" s="1487"/>
    </row>
    <row r="55" spans="1:42" s="14429" customFormat="1" ht="5.25" customHeight="1">
      <c r="A55" s="1252" t="s">
        <v>235</v>
      </c>
      <c r="B55" s="1252" t="s">
        <v>236</v>
      </c>
      <c r="C55" s="1252" t="s">
        <v>237</v>
      </c>
      <c r="D55" s="1251"/>
      <c r="E55" s="16149"/>
      <c r="F55" s="16149"/>
      <c r="G55" s="16148"/>
      <c r="H55" s="1251"/>
      <c r="I55" s="1251"/>
      <c r="J55" s="1251"/>
      <c r="K55" s="1251"/>
      <c r="L55" s="1254"/>
      <c r="M55" s="1255"/>
      <c r="N55" s="1255"/>
      <c r="O55" s="267"/>
      <c r="P55" s="1195"/>
      <c r="Q55" s="1196"/>
      <c r="R55" s="1195"/>
      <c r="S55" s="1201"/>
      <c r="T55" s="1204" t="s">
        <v>551</v>
      </c>
      <c r="U55" s="1203"/>
      <c r="V55" s="1203"/>
      <c r="W55" s="1203"/>
      <c r="X55" s="1203"/>
      <c r="Y55" s="1203"/>
      <c r="Z55" s="1203"/>
      <c r="AA55" s="1203"/>
      <c r="AB55" s="1203"/>
      <c r="AC55" s="1203"/>
      <c r="AD55" s="1203"/>
      <c r="AE55" s="1203"/>
      <c r="AF55" s="1203"/>
      <c r="AG55" s="1203"/>
      <c r="AH55" s="1203"/>
      <c r="AI55" s="1203"/>
      <c r="AJ55" s="1203"/>
      <c r="AK55" s="1203"/>
      <c r="AM55" s="1133"/>
      <c r="AN55" s="1133" t="str">
        <f t="shared" si="2"/>
        <v>Добавить источник для дифференциации</v>
      </c>
      <c r="AO55" s="1133"/>
      <c r="AP55" s="1133"/>
    </row>
    <row r="56" spans="1:42" s="14429" customFormat="1" ht="5.25" customHeight="1">
      <c r="A56" s="1252" t="s">
        <v>235</v>
      </c>
      <c r="B56" s="1252" t="s">
        <v>236</v>
      </c>
      <c r="C56" s="1251"/>
      <c r="D56" s="1251"/>
      <c r="E56" s="16149"/>
      <c r="F56" s="16148"/>
      <c r="G56" s="1251"/>
      <c r="H56" s="1251"/>
      <c r="I56" s="1251"/>
      <c r="J56" s="1251"/>
      <c r="K56" s="1251"/>
      <c r="L56" s="1254"/>
      <c r="M56" s="1256"/>
      <c r="N56" s="1256"/>
      <c r="O56" s="267"/>
      <c r="P56" s="1195"/>
      <c r="Q56" s="1196"/>
      <c r="R56" s="1195"/>
      <c r="S56" s="1201"/>
      <c r="T56" s="1204" t="s">
        <v>290</v>
      </c>
      <c r="U56" s="1203"/>
      <c r="V56" s="1203"/>
      <c r="W56" s="1203"/>
      <c r="X56" s="1203"/>
      <c r="Y56" s="1203"/>
      <c r="Z56" s="1203"/>
      <c r="AA56" s="1203"/>
      <c r="AB56" s="1203"/>
      <c r="AC56" s="1203"/>
      <c r="AD56" s="1203"/>
      <c r="AE56" s="1203"/>
      <c r="AF56" s="1203"/>
      <c r="AG56" s="1203"/>
      <c r="AH56" s="1203"/>
      <c r="AI56" s="1203"/>
      <c r="AJ56" s="1203"/>
      <c r="AK56" s="1203"/>
      <c r="AM56" s="1133"/>
      <c r="AN56" s="1133" t="str">
        <f t="shared" si="2"/>
        <v>Добавить централизованную систему для дифференциации</v>
      </c>
      <c r="AO56" s="1133"/>
      <c r="AP56" s="1133"/>
    </row>
    <row r="57" spans="1:42" s="14432" customFormat="1" ht="5.25" customHeight="1">
      <c r="A57" s="1252" t="s">
        <v>235</v>
      </c>
      <c r="B57" s="1252"/>
      <c r="C57" s="1252"/>
      <c r="D57" s="1252"/>
      <c r="E57" s="16149"/>
      <c r="F57" s="1252"/>
      <c r="G57" s="1252"/>
      <c r="H57" s="1252"/>
      <c r="I57" s="1252"/>
      <c r="J57" s="1252"/>
      <c r="K57" s="1252"/>
      <c r="L57" s="1258"/>
      <c r="M57" s="1256"/>
      <c r="N57" s="1256"/>
      <c r="O57" s="267"/>
      <c r="P57" s="295"/>
      <c r="Q57" s="1222"/>
      <c r="R57" s="295"/>
      <c r="S57" s="1201"/>
      <c r="T57" s="1204" t="s">
        <v>326</v>
      </c>
      <c r="U57" s="1203"/>
      <c r="V57" s="1203"/>
      <c r="W57" s="1203"/>
      <c r="X57" s="1203"/>
      <c r="Y57" s="1203"/>
      <c r="Z57" s="1203"/>
      <c r="AA57" s="1203"/>
      <c r="AB57" s="1203"/>
      <c r="AC57" s="1203"/>
      <c r="AD57" s="1203"/>
      <c r="AE57" s="1203"/>
      <c r="AF57" s="1203"/>
      <c r="AG57" s="1203"/>
      <c r="AH57" s="1203"/>
      <c r="AI57" s="1203"/>
      <c r="AJ57" s="1203"/>
      <c r="AK57" s="1203"/>
      <c r="AM57" s="1487"/>
      <c r="AN57" s="1487" t="str">
        <f t="shared" si="2"/>
        <v>Добавить территорию для дифференциации</v>
      </c>
      <c r="AO57" s="1487"/>
      <c r="AP57" s="1487"/>
    </row>
    <row r="58" spans="1:42" s="14432" customFormat="1" ht="5.25" customHeight="1">
      <c r="A58" s="1252" t="s">
        <v>235</v>
      </c>
      <c r="B58" s="1252"/>
      <c r="C58" s="1252"/>
      <c r="D58" s="1252"/>
      <c r="E58" s="16148"/>
      <c r="F58" s="1252"/>
      <c r="G58" s="1252"/>
      <c r="H58" s="1252"/>
      <c r="I58" s="1252"/>
      <c r="J58" s="1252"/>
      <c r="K58" s="1252"/>
      <c r="L58" s="1258"/>
      <c r="M58" s="1256"/>
      <c r="N58" s="1256"/>
      <c r="O58" s="267"/>
      <c r="P58" s="295"/>
      <c r="Q58" s="1222"/>
      <c r="R58" s="295"/>
      <c r="S58" s="1201"/>
      <c r="T58" s="1204" t="s">
        <v>326</v>
      </c>
      <c r="U58" s="1203"/>
      <c r="V58" s="1203"/>
      <c r="W58" s="1203"/>
      <c r="X58" s="1203"/>
      <c r="Y58" s="1203"/>
      <c r="Z58" s="1203"/>
      <c r="AA58" s="1203"/>
      <c r="AB58" s="1203"/>
      <c r="AC58" s="1203"/>
      <c r="AD58" s="1203"/>
      <c r="AE58" s="1203"/>
      <c r="AF58" s="1203"/>
      <c r="AG58" s="1203"/>
      <c r="AH58" s="1203"/>
      <c r="AI58" s="1203"/>
      <c r="AJ58" s="1203"/>
      <c r="AK58" s="1203"/>
      <c r="AM58" s="1487"/>
      <c r="AN58" s="1487" t="str">
        <f t="shared" si="2"/>
        <v>Добавить территорию для дифференциации</v>
      </c>
      <c r="AO58" s="1487"/>
      <c r="AP58" s="1487"/>
    </row>
    <row r="59" spans="1:42" s="14429" customFormat="1" ht="5.25" customHeight="1">
      <c r="A59" s="1251"/>
      <c r="B59" s="1251"/>
      <c r="C59" s="1251"/>
      <c r="D59" s="1251"/>
      <c r="E59" s="1252"/>
      <c r="F59" s="1251"/>
      <c r="G59" s="1251"/>
      <c r="H59" s="1251"/>
      <c r="I59" s="1251"/>
      <c r="J59" s="1251"/>
      <c r="K59" s="1251"/>
      <c r="L59" s="1254"/>
      <c r="M59" s="1256"/>
      <c r="N59" s="1256"/>
      <c r="O59" s="267"/>
      <c r="P59" s="1195"/>
      <c r="Q59" s="1196"/>
      <c r="R59" s="1195"/>
      <c r="S59" s="1201"/>
      <c r="T59" s="1204" t="s">
        <v>390</v>
      </c>
      <c r="U59" s="1203"/>
      <c r="V59" s="1203"/>
      <c r="W59" s="1203"/>
      <c r="X59" s="1203"/>
      <c r="Y59" s="1203"/>
      <c r="Z59" s="1203"/>
      <c r="AA59" s="1203"/>
      <c r="AB59" s="1203"/>
      <c r="AC59" s="1203"/>
      <c r="AD59" s="1203"/>
      <c r="AE59" s="1203"/>
      <c r="AF59" s="1203"/>
      <c r="AG59" s="1203"/>
      <c r="AH59" s="1203"/>
      <c r="AI59" s="1203"/>
      <c r="AJ59" s="1203"/>
      <c r="AK59" s="1203"/>
      <c r="AM59" s="1133"/>
      <c r="AN59" s="1133" t="str">
        <f t="shared" si="2"/>
        <v>Добавить наименование тарифа</v>
      </c>
      <c r="AO59" s="1133"/>
      <c r="AP59" s="1133"/>
    </row>
    <row r="60" spans="1:42" ht="11.25" customHeight="1">
      <c r="M60" s="1494"/>
      <c r="N60" s="1494"/>
      <c r="O60" s="1498"/>
      <c r="P60" s="1243"/>
      <c r="Q60" s="1243"/>
      <c r="R60" s="1494"/>
      <c r="S60" s="1494"/>
      <c r="AL60" s="1494"/>
      <c r="AM60" s="1494"/>
      <c r="AN60" s="1494"/>
      <c r="AO60" s="1494"/>
      <c r="AP60" s="1494"/>
    </row>
    <row r="61" spans="1:42" ht="18.75" customHeight="1">
      <c r="O61" s="1498"/>
      <c r="S61" s="1135"/>
      <c r="T61" s="16144"/>
      <c r="U61" s="16144"/>
      <c r="V61" s="16144"/>
      <c r="W61" s="16144"/>
      <c r="X61" s="16144"/>
      <c r="Y61" s="16144"/>
      <c r="Z61" s="16144"/>
      <c r="AA61" s="16144"/>
      <c r="AB61" s="16144"/>
      <c r="AC61" s="16144"/>
      <c r="AD61" s="16144"/>
      <c r="AE61" s="16144"/>
      <c r="AF61" s="16144"/>
      <c r="AG61" s="16144"/>
      <c r="AH61" s="16144"/>
      <c r="AI61" s="16144"/>
      <c r="AJ61" s="16144"/>
      <c r="AK61" s="16144"/>
    </row>
    <row r="62" spans="1:42" ht="19.5" customHeight="1">
      <c r="O62" s="1498"/>
      <c r="T62" s="16144"/>
      <c r="U62" s="16144"/>
      <c r="V62" s="16144"/>
      <c r="W62" s="16144"/>
      <c r="X62" s="16144"/>
      <c r="Y62" s="16144"/>
      <c r="Z62" s="16144"/>
      <c r="AA62" s="16144"/>
      <c r="AB62" s="16144"/>
      <c r="AC62" s="16144"/>
      <c r="AD62" s="16144"/>
      <c r="AE62" s="16144"/>
      <c r="AF62" s="16144"/>
      <c r="AG62" s="16144"/>
      <c r="AH62" s="16144"/>
      <c r="AI62" s="16144"/>
      <c r="AJ62" s="16144"/>
      <c r="AK62" s="16144"/>
    </row>
    <row r="63" spans="1:42" ht="14.25" customHeight="1">
      <c r="O63" s="1498"/>
      <c r="T63" s="1813"/>
      <c r="U63" s="1813"/>
      <c r="V63" s="1813"/>
      <c r="W63" s="1813"/>
      <c r="X63" s="1813"/>
      <c r="Y63" s="1813"/>
      <c r="Z63" s="1813"/>
      <c r="AA63" s="1813"/>
      <c r="AB63" s="1813"/>
      <c r="AC63" s="1813"/>
      <c r="AD63" s="1813"/>
      <c r="AE63" s="1813"/>
      <c r="AF63" s="1813"/>
      <c r="AG63" s="1813"/>
      <c r="AH63" s="1813"/>
      <c r="AI63" s="1813"/>
      <c r="AJ63" s="1813"/>
      <c r="AK63" s="1813"/>
    </row>
    <row r="64" spans="1:42" ht="18.75" customHeight="1">
      <c r="O64" s="1498"/>
      <c r="T64" s="16144"/>
      <c r="U64" s="16144"/>
      <c r="V64" s="16144"/>
      <c r="W64" s="16144"/>
      <c r="X64" s="16144"/>
      <c r="Y64" s="16144"/>
      <c r="Z64" s="16144"/>
      <c r="AA64" s="16144"/>
      <c r="AB64" s="16144"/>
      <c r="AC64" s="16144"/>
      <c r="AD64" s="16144"/>
      <c r="AE64" s="16144"/>
      <c r="AF64" s="16144"/>
      <c r="AG64" s="16144"/>
      <c r="AH64" s="16144"/>
      <c r="AI64" s="16144"/>
      <c r="AJ64" s="16144"/>
      <c r="AK64" s="16144"/>
    </row>
    <row r="65" spans="15:37" ht="15.75" customHeight="1">
      <c r="O65" s="1498"/>
      <c r="T65" s="16144"/>
      <c r="U65" s="16144"/>
      <c r="V65" s="16144"/>
      <c r="W65" s="16144"/>
      <c r="X65" s="16144"/>
      <c r="Y65" s="16144"/>
      <c r="Z65" s="16144"/>
      <c r="AA65" s="16144"/>
      <c r="AB65" s="16144"/>
      <c r="AC65" s="16144"/>
      <c r="AD65" s="16144"/>
      <c r="AE65" s="16144"/>
      <c r="AF65" s="16144"/>
      <c r="AG65" s="16144"/>
      <c r="AH65" s="16144"/>
      <c r="AI65" s="16144"/>
      <c r="AJ65" s="16144"/>
      <c r="AK65" s="16144"/>
    </row>
    <row r="66" spans="15:37" ht="14.25" customHeight="1">
      <c r="O66" s="1498"/>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4419" hidden="1" customWidth="1"/>
    <col min="2" max="2" width="11" style="14419" hidden="1" customWidth="1"/>
    <col min="3" max="3" width="10.5703125" style="14419" hidden="1"/>
    <col min="4" max="4" width="12.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2" style="14419" hidden="1" customWidth="1"/>
    <col min="10" max="10" width="9.85546875" style="14419" hidden="1" customWidth="1"/>
    <col min="11" max="11" width="11.42578125" style="14419" hidden="1" customWidth="1"/>
    <col min="12" max="12" width="19.140625" style="14444" hidden="1" customWidth="1"/>
    <col min="13" max="14" width="12.28515625" style="14423" hidden="1" customWidth="1"/>
    <col min="15" max="15" width="23.42578125" style="14423" hidden="1" customWidth="1"/>
    <col min="16" max="16" width="3.7109375" style="14423" hidden="1" customWidth="1"/>
    <col min="17" max="17" width="3.7109375" style="14439" hidden="1" customWidth="1"/>
    <col min="18" max="18" width="3.7109375" style="14425" customWidth="1"/>
    <col min="19" max="19" width="12.7109375" style="14426" customWidth="1"/>
    <col min="20" max="20" width="32" style="14427" customWidth="1"/>
    <col min="21" max="21" width="0.140625" style="14427" customWidth="1"/>
    <col min="22" max="25" width="21.7109375" style="14427" hidden="1" customWidth="1"/>
    <col min="26" max="26" width="11.7109375" style="14427" hidden="1" customWidth="1"/>
    <col min="27" max="27" width="3.7109375" style="14427" hidden="1" customWidth="1"/>
    <col min="28" max="28" width="11.7109375" style="14427" hidden="1" customWidth="1"/>
    <col min="29" max="29" width="8.5703125" style="14427" hidden="1" customWidth="1"/>
    <col min="30" max="32" width="3.7109375" style="14427" customWidth="1"/>
    <col min="33" max="33" width="24.7109375" style="14427" customWidth="1"/>
    <col min="34" max="36" width="3.7109375" style="14427" customWidth="1"/>
    <col min="37" max="37" width="24.7109375" style="14427" customWidth="1"/>
    <col min="38" max="40" width="3.7109375" style="14427" customWidth="1"/>
    <col min="41" max="41" width="18.85546875" style="14427" customWidth="1"/>
    <col min="42" max="44" width="3.7109375" style="14427" customWidth="1"/>
    <col min="45" max="45" width="18.85546875" style="14427" customWidth="1"/>
    <col min="46" max="49" width="21.7109375" style="14427" customWidth="1"/>
    <col min="50" max="50" width="11.7109375" style="14427" customWidth="1"/>
    <col min="51" max="51" width="3.7109375" style="14427" customWidth="1"/>
    <col min="52" max="52" width="11.7109375" style="14427" customWidth="1"/>
    <col min="53" max="53" width="8.5703125" style="14427" hidden="1" customWidth="1"/>
    <col min="54" max="54" width="4.7109375" style="14427" customWidth="1"/>
    <col min="55" max="55" width="115.7109375" style="14427" customWidth="1"/>
    <col min="56" max="57" width="10.5703125" style="14421"/>
    <col min="58" max="58" width="11.140625" style="14421" customWidth="1"/>
    <col min="59" max="60" width="10.5703125" style="14421"/>
  </cols>
  <sheetData>
    <row r="1" spans="1:60" ht="14.25" hidden="1" customHeight="1">
      <c r="W1" s="244"/>
      <c r="Y1" s="244"/>
      <c r="Z1" s="244"/>
      <c r="AW1" s="244"/>
      <c r="AX1" s="244"/>
    </row>
    <row r="2" spans="1:60" ht="21" hidden="1" customHeight="1">
      <c r="A2" s="1240"/>
      <c r="B2" s="1240"/>
      <c r="C2" s="1240"/>
      <c r="D2" s="1240"/>
      <c r="E2" s="16124">
        <v>1</v>
      </c>
      <c r="F2" s="1240"/>
      <c r="G2" s="1240"/>
      <c r="H2" s="1240"/>
      <c r="I2" s="1240"/>
      <c r="J2" s="1240"/>
      <c r="K2" s="1240"/>
      <c r="L2" s="1241"/>
      <c r="M2" s="1242"/>
      <c r="N2" s="1242"/>
      <c r="O2" s="1242"/>
      <c r="P2" s="1286"/>
      <c r="Q2" s="767"/>
      <c r="R2" s="271"/>
      <c r="S2" s="1338" t="e">
        <f>INDEX(PT_DIFFERENTIATION_NUM_NTAR,MATCH(A2,PT_DIFFERENTIATION_NTAR_ID,0))</f>
        <v>#N/A</v>
      </c>
      <c r="T2" s="215" t="s">
        <v>158</v>
      </c>
      <c r="U2" s="217"/>
      <c r="V2" s="16111"/>
      <c r="W2" s="16111"/>
      <c r="X2" s="16111"/>
      <c r="Y2" s="16111"/>
      <c r="Z2" s="16111"/>
      <c r="AA2" s="16111"/>
      <c r="AB2" s="16111"/>
      <c r="AC2" s="16112"/>
      <c r="AD2" s="16110" t="e">
        <f>INDEX(PT_DIFFERENTIATION_NTAR,MATCH(A2,PT_DIFFERENTIATION_NTAR_ID,0))</f>
        <v>#N/A</v>
      </c>
      <c r="AE2" s="16111"/>
      <c r="AF2" s="16111"/>
      <c r="AG2" s="16111"/>
      <c r="AH2" s="16111"/>
      <c r="AI2" s="16111"/>
      <c r="AJ2" s="16111"/>
      <c r="AK2" s="16111"/>
      <c r="AL2" s="16111"/>
      <c r="AM2" s="16111"/>
      <c r="AN2" s="16111"/>
      <c r="AO2" s="16111"/>
      <c r="AP2" s="16111"/>
      <c r="AQ2" s="16111"/>
      <c r="AR2" s="16111"/>
      <c r="AS2" s="16111"/>
      <c r="AT2" s="16111"/>
      <c r="AU2" s="16111"/>
      <c r="AV2" s="16111"/>
      <c r="AW2" s="16111"/>
      <c r="AX2" s="16111"/>
      <c r="AY2" s="16111"/>
      <c r="AZ2" s="16111"/>
      <c r="BA2" s="16111"/>
      <c r="BB2" s="16112"/>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0"/>
      <c r="B3" s="1240"/>
      <c r="C3" s="1240"/>
      <c r="D3" s="1240"/>
      <c r="E3" s="16125"/>
      <c r="F3" s="16124">
        <v>1</v>
      </c>
      <c r="G3" s="1240"/>
      <c r="H3" s="1240"/>
      <c r="I3" s="1240"/>
      <c r="J3" s="1240"/>
      <c r="K3" s="1240"/>
      <c r="L3" s="1241"/>
      <c r="M3" s="1242"/>
      <c r="N3" s="1242"/>
      <c r="O3" s="1242"/>
      <c r="P3" s="1287"/>
      <c r="Q3" s="1288"/>
      <c r="R3" s="269"/>
      <c r="S3" s="1338" t="e">
        <f>INDEX(PT_DIFFERENTIATION_NUM_TER,MATCH(B3,PT_DIFFERENTIATION_TER_ID,0))</f>
        <v>#N/A</v>
      </c>
      <c r="T3" s="225" t="s">
        <v>534</v>
      </c>
      <c r="U3" s="217"/>
      <c r="V3" s="16111"/>
      <c r="W3" s="16111"/>
      <c r="X3" s="16111"/>
      <c r="Y3" s="16111"/>
      <c r="Z3" s="16111"/>
      <c r="AA3" s="16111"/>
      <c r="AB3" s="16111"/>
      <c r="AC3" s="16112"/>
      <c r="AD3" s="16110" t="e">
        <f>INDEX(PT_DIFFERENTIATION_TER,MATCH(B3,PT_DIFFERENTIATION_TER_ID,0))</f>
        <v>#N/A</v>
      </c>
      <c r="AE3" s="16111"/>
      <c r="AF3" s="16111"/>
      <c r="AG3" s="16111"/>
      <c r="AH3" s="16111"/>
      <c r="AI3" s="16111"/>
      <c r="AJ3" s="16111"/>
      <c r="AK3" s="16111"/>
      <c r="AL3" s="16111"/>
      <c r="AM3" s="16111"/>
      <c r="AN3" s="16111"/>
      <c r="AO3" s="16111"/>
      <c r="AP3" s="16111"/>
      <c r="AQ3" s="16111"/>
      <c r="AR3" s="16111"/>
      <c r="AS3" s="16111"/>
      <c r="AT3" s="16111"/>
      <c r="AU3" s="16111"/>
      <c r="AV3" s="16111"/>
      <c r="AW3" s="16111"/>
      <c r="AX3" s="16111"/>
      <c r="AY3" s="16111"/>
      <c r="AZ3" s="16111"/>
      <c r="BA3" s="16111"/>
      <c r="BB3" s="16112"/>
      <c r="BC3" s="1140" t="s">
        <v>535</v>
      </c>
      <c r="BE3" s="407"/>
      <c r="BF3" s="407" t="str">
        <f t="shared" si="0"/>
        <v>Территория действия тарифа</v>
      </c>
      <c r="BG3" s="407"/>
      <c r="BH3" s="407"/>
    </row>
    <row r="4" spans="1:60" ht="42" hidden="1" customHeight="1">
      <c r="A4" s="1240"/>
      <c r="B4" s="1240"/>
      <c r="C4" s="1240"/>
      <c r="D4" s="1240"/>
      <c r="E4" s="16125"/>
      <c r="F4" s="16125"/>
      <c r="G4" s="16124">
        <v>1</v>
      </c>
      <c r="H4" s="1240"/>
      <c r="I4" s="1240"/>
      <c r="J4" s="1240"/>
      <c r="K4" s="1240"/>
      <c r="L4" s="1241"/>
      <c r="M4" s="1242"/>
      <c r="N4" s="1242"/>
      <c r="O4" s="1242"/>
      <c r="P4" s="1289"/>
      <c r="Q4" s="1288"/>
      <c r="R4" s="269"/>
      <c r="S4" s="1338" t="e">
        <f>INDEX(PT_DIFFERENTIATION_NUM_CS,MATCH(C4,PT_DIFFERENTIATION_CS_ID,0))</f>
        <v>#N/A</v>
      </c>
      <c r="T4" s="226" t="s">
        <v>616</v>
      </c>
      <c r="U4" s="217"/>
      <c r="V4" s="16111"/>
      <c r="W4" s="16111"/>
      <c r="X4" s="16111"/>
      <c r="Y4" s="16111"/>
      <c r="Z4" s="16111"/>
      <c r="AA4" s="16111"/>
      <c r="AB4" s="16111"/>
      <c r="AC4" s="16112"/>
      <c r="AD4" s="16110" t="e">
        <f>INDEX(PT_DIFFERENTIATION_CS,MATCH(C4,PT_DIFFERENTIATION_CS_ID,0))</f>
        <v>#N/A</v>
      </c>
      <c r="AE4" s="16111"/>
      <c r="AF4" s="16111"/>
      <c r="AG4" s="16111"/>
      <c r="AH4" s="16111"/>
      <c r="AI4" s="16111"/>
      <c r="AJ4" s="16111"/>
      <c r="AK4" s="16111"/>
      <c r="AL4" s="16111"/>
      <c r="AM4" s="16111"/>
      <c r="AN4" s="16111"/>
      <c r="AO4" s="16111"/>
      <c r="AP4" s="16111"/>
      <c r="AQ4" s="16111"/>
      <c r="AR4" s="16111"/>
      <c r="AS4" s="16111"/>
      <c r="AT4" s="16111"/>
      <c r="AU4" s="16111"/>
      <c r="AV4" s="16111"/>
      <c r="AW4" s="16111"/>
      <c r="AX4" s="16111"/>
      <c r="AY4" s="16111"/>
      <c r="AZ4" s="16111"/>
      <c r="BA4" s="16111"/>
      <c r="BB4" s="16112"/>
      <c r="BC4" s="1140" t="s">
        <v>617</v>
      </c>
      <c r="BE4" s="407"/>
      <c r="BF4" s="407" t="str">
        <f t="shared" si="0"/>
        <v>Наименование централизованной системы холодного водоснабжения</v>
      </c>
      <c r="BG4" s="407"/>
      <c r="BH4" s="407"/>
    </row>
    <row r="5" spans="1:60" s="14421" customFormat="1" ht="14.25" hidden="1" customHeight="1">
      <c r="A5" s="1221"/>
      <c r="B5" s="1221"/>
      <c r="C5" s="1221"/>
      <c r="D5" s="1221"/>
      <c r="E5" s="16125"/>
      <c r="F5" s="16125"/>
      <c r="G5" s="16125"/>
      <c r="H5" s="16124">
        <v>1</v>
      </c>
      <c r="I5" s="1221"/>
      <c r="J5" s="1221"/>
      <c r="K5" s="1221"/>
      <c r="L5" s="1224"/>
      <c r="M5" s="1194"/>
      <c r="N5" s="1194"/>
      <c r="O5" s="1194"/>
      <c r="P5" s="1368"/>
      <c r="Q5" s="1369"/>
      <c r="R5" s="273"/>
      <c r="S5" s="930"/>
      <c r="T5" s="1370"/>
      <c r="U5" s="1261"/>
      <c r="V5" s="16154"/>
      <c r="W5" s="16154"/>
      <c r="X5" s="16154"/>
      <c r="Y5" s="16154"/>
      <c r="Z5" s="16154"/>
      <c r="AA5" s="16154"/>
      <c r="AB5" s="16154"/>
      <c r="AC5" s="16155"/>
      <c r="AD5" s="16153"/>
      <c r="AE5" s="16154"/>
      <c r="AF5" s="16154"/>
      <c r="AG5" s="16154"/>
      <c r="AH5" s="16154"/>
      <c r="AI5" s="16154"/>
      <c r="AJ5" s="16154"/>
      <c r="AK5" s="16154"/>
      <c r="AL5" s="16154"/>
      <c r="AM5" s="16154"/>
      <c r="AN5" s="16154"/>
      <c r="AO5" s="16154"/>
      <c r="AP5" s="16154"/>
      <c r="AQ5" s="16154"/>
      <c r="AR5" s="16154"/>
      <c r="AS5" s="16154"/>
      <c r="AT5" s="16154"/>
      <c r="AU5" s="16154"/>
      <c r="AV5" s="16154"/>
      <c r="AW5" s="16154"/>
      <c r="AX5" s="16154"/>
      <c r="AY5" s="16154"/>
      <c r="AZ5" s="16154"/>
      <c r="BA5" s="16154"/>
      <c r="BB5" s="16155"/>
      <c r="BC5" s="1262" t="s">
        <v>539</v>
      </c>
      <c r="BE5" s="407"/>
      <c r="BF5" s="407" t="str">
        <f t="shared" si="0"/>
        <v/>
      </c>
      <c r="BG5" s="407"/>
      <c r="BH5" s="407"/>
    </row>
    <row r="6" spans="1:60" s="14421" customFormat="1" ht="14.25" hidden="1" customHeight="1">
      <c r="A6" s="1221"/>
      <c r="B6" s="1221"/>
      <c r="C6" s="1221"/>
      <c r="D6" s="1221"/>
      <c r="E6" s="16125"/>
      <c r="F6" s="16125"/>
      <c r="G6" s="16125"/>
      <c r="H6" s="16125"/>
      <c r="I6" s="16122" t="str">
        <f>S5&amp;".1"</f>
        <v>.1</v>
      </c>
      <c r="J6" s="1221"/>
      <c r="K6" s="1221"/>
      <c r="L6" s="1224" t="s">
        <v>540</v>
      </c>
      <c r="M6" s="417"/>
      <c r="N6" s="417"/>
      <c r="O6" s="417"/>
      <c r="P6" s="16123">
        <v>1</v>
      </c>
      <c r="Q6" s="1335"/>
      <c r="R6" s="272"/>
      <c r="S6" s="930"/>
      <c r="T6" s="1260"/>
      <c r="U6" s="1261"/>
      <c r="V6" s="16154"/>
      <c r="W6" s="16154"/>
      <c r="X6" s="16154"/>
      <c r="Y6" s="16154"/>
      <c r="Z6" s="16154"/>
      <c r="AA6" s="16154"/>
      <c r="AB6" s="16154"/>
      <c r="AC6" s="16155"/>
      <c r="AD6" s="16153"/>
      <c r="AE6" s="16154"/>
      <c r="AF6" s="16154"/>
      <c r="AG6" s="16154"/>
      <c r="AH6" s="16154"/>
      <c r="AI6" s="16154"/>
      <c r="AJ6" s="16154"/>
      <c r="AK6" s="16154"/>
      <c r="AL6" s="16154"/>
      <c r="AM6" s="16154"/>
      <c r="AN6" s="16154"/>
      <c r="AO6" s="16154"/>
      <c r="AP6" s="16154"/>
      <c r="AQ6" s="16154"/>
      <c r="AR6" s="16154"/>
      <c r="AS6" s="16154"/>
      <c r="AT6" s="16154"/>
      <c r="AU6" s="16154"/>
      <c r="AV6" s="16154"/>
      <c r="AW6" s="16154"/>
      <c r="AX6" s="16154"/>
      <c r="AY6" s="16154"/>
      <c r="AZ6" s="16154"/>
      <c r="BA6" s="16154"/>
      <c r="BB6" s="16155"/>
      <c r="BC6" s="1262"/>
      <c r="BE6" s="407"/>
      <c r="BF6" s="407" t="str">
        <f t="shared" si="0"/>
        <v/>
      </c>
      <c r="BG6" s="407"/>
      <c r="BH6" s="407"/>
    </row>
    <row r="7" spans="1:60" s="14421" customFormat="1" ht="14.25" hidden="1" customHeight="1">
      <c r="A7" s="1221"/>
      <c r="B7" s="1221"/>
      <c r="C7" s="1221"/>
      <c r="D7" s="1221"/>
      <c r="E7" s="16125"/>
      <c r="F7" s="16125"/>
      <c r="G7" s="16125"/>
      <c r="H7" s="16125"/>
      <c r="I7" s="16145"/>
      <c r="J7" s="16122" t="str">
        <f>S5&amp;".1"</f>
        <v>.1</v>
      </c>
      <c r="K7" s="1221"/>
      <c r="L7" s="1224"/>
      <c r="M7" s="417"/>
      <c r="N7" s="417"/>
      <c r="O7" s="417"/>
      <c r="P7" s="16123"/>
      <c r="Q7" s="16123">
        <v>1</v>
      </c>
      <c r="R7" s="273"/>
      <c r="S7" s="930"/>
      <c r="T7" s="1276"/>
      <c r="U7" s="1261"/>
      <c r="V7" s="16154"/>
      <c r="W7" s="16154"/>
      <c r="X7" s="16154"/>
      <c r="Y7" s="16154"/>
      <c r="Z7" s="16154"/>
      <c r="AA7" s="16154"/>
      <c r="AB7" s="16154"/>
      <c r="AC7" s="16155"/>
      <c r="AD7" s="16153"/>
      <c r="AE7" s="16154"/>
      <c r="AF7" s="16154"/>
      <c r="AG7" s="16154"/>
      <c r="AH7" s="16154"/>
      <c r="AI7" s="16154"/>
      <c r="AJ7" s="16154"/>
      <c r="AK7" s="16154"/>
      <c r="AL7" s="16154"/>
      <c r="AM7" s="16154"/>
      <c r="AN7" s="16154"/>
      <c r="AO7" s="16154"/>
      <c r="AP7" s="16154"/>
      <c r="AQ7" s="16154"/>
      <c r="AR7" s="16154"/>
      <c r="AS7" s="16154"/>
      <c r="AT7" s="16154"/>
      <c r="AU7" s="16154"/>
      <c r="AV7" s="16154"/>
      <c r="AW7" s="16154"/>
      <c r="AX7" s="16154"/>
      <c r="AY7" s="16154"/>
      <c r="AZ7" s="16154"/>
      <c r="BA7" s="16154"/>
      <c r="BB7" s="16155"/>
      <c r="BC7" s="1262"/>
      <c r="BE7" s="407"/>
      <c r="BF7" s="407" t="str">
        <f t="shared" si="0"/>
        <v/>
      </c>
      <c r="BG7" s="407"/>
      <c r="BH7" s="407"/>
    </row>
    <row r="8" spans="1:60" ht="11.25" hidden="1" customHeight="1">
      <c r="A8" s="1240"/>
      <c r="B8" s="1240"/>
      <c r="C8" s="1240"/>
      <c r="D8" s="1240"/>
      <c r="E8" s="16125"/>
      <c r="F8" s="16125"/>
      <c r="G8" s="16125"/>
      <c r="H8" s="16125"/>
      <c r="I8" s="16145"/>
      <c r="J8" s="16145"/>
      <c r="K8" s="16122" t="e">
        <f>S4&amp;".1"</f>
        <v>#N/A</v>
      </c>
      <c r="L8" s="1241"/>
      <c r="P8" s="16123"/>
      <c r="Q8" s="16123"/>
      <c r="R8" s="16180">
        <v>1</v>
      </c>
      <c r="S8" s="16174" t="e">
        <f>$K8</f>
        <v>#N/A</v>
      </c>
      <c r="T8" s="16193"/>
      <c r="U8" s="217"/>
      <c r="V8" s="649"/>
      <c r="W8" s="1139"/>
      <c r="X8" s="649"/>
      <c r="Y8" s="1139"/>
      <c r="Z8" s="1596"/>
      <c r="AA8" s="1333" t="s">
        <v>66</v>
      </c>
      <c r="AB8" s="1596"/>
      <c r="AC8" s="1333" t="s">
        <v>66</v>
      </c>
      <c r="AD8" s="16044" t="s">
        <v>66</v>
      </c>
      <c r="AE8" s="16160"/>
      <c r="AF8" s="16080">
        <v>1</v>
      </c>
      <c r="AG8" s="16197"/>
      <c r="AH8" s="15973" t="s">
        <v>66</v>
      </c>
      <c r="AI8" s="16160"/>
      <c r="AJ8" s="16080">
        <v>1</v>
      </c>
      <c r="AK8" s="16196" t="s">
        <v>24</v>
      </c>
      <c r="AL8" s="15973" t="s">
        <v>66</v>
      </c>
      <c r="AM8" s="16070"/>
      <c r="AN8" s="16080">
        <v>1</v>
      </c>
      <c r="AO8" s="16190"/>
      <c r="AP8" s="16191" t="s">
        <v>66</v>
      </c>
      <c r="AQ8" s="228"/>
      <c r="AR8" s="1336">
        <v>1</v>
      </c>
      <c r="AS8" s="1339" t="s">
        <v>24</v>
      </c>
      <c r="AT8" s="649"/>
      <c r="AU8" s="1139"/>
      <c r="AV8" s="649"/>
      <c r="AW8" s="1139"/>
      <c r="AX8" s="1596"/>
      <c r="AY8" s="1333" t="s">
        <v>66</v>
      </c>
      <c r="AZ8" s="1596"/>
      <c r="BA8" s="1333" t="s">
        <v>66</v>
      </c>
      <c r="BB8" s="1226"/>
      <c r="BC8" s="16119" t="s">
        <v>636</v>
      </c>
      <c r="BE8" s="407"/>
      <c r="BF8" s="407" t="str">
        <f t="shared" si="0"/>
        <v/>
      </c>
      <c r="BG8" s="407"/>
      <c r="BH8" s="407"/>
    </row>
    <row r="9" spans="1:60" ht="11.25" hidden="1" customHeight="1">
      <c r="A9" s="1240"/>
      <c r="B9" s="1240"/>
      <c r="C9" s="1240"/>
      <c r="D9" s="1240"/>
      <c r="E9" s="16125"/>
      <c r="F9" s="16125"/>
      <c r="G9" s="16125"/>
      <c r="H9" s="16125"/>
      <c r="I9" s="16145"/>
      <c r="J9" s="16145"/>
      <c r="K9" s="16122"/>
      <c r="L9" s="1241"/>
      <c r="P9" s="16123"/>
      <c r="Q9" s="16123"/>
      <c r="R9" s="16180"/>
      <c r="S9" s="16175"/>
      <c r="T9" s="16194"/>
      <c r="U9" s="217"/>
      <c r="V9" s="1270"/>
      <c r="W9" s="1367"/>
      <c r="X9" s="1270"/>
      <c r="Y9" s="1367"/>
      <c r="Z9" s="1270"/>
      <c r="AA9" s="1270"/>
      <c r="AB9" s="1270"/>
      <c r="AC9" s="1270"/>
      <c r="AD9" s="16045"/>
      <c r="AE9" s="16160"/>
      <c r="AF9" s="16080"/>
      <c r="AG9" s="16197"/>
      <c r="AH9" s="15973"/>
      <c r="AI9" s="16160"/>
      <c r="AJ9" s="16080"/>
      <c r="AK9" s="16196"/>
      <c r="AL9" s="15973"/>
      <c r="AM9" s="16075"/>
      <c r="AN9" s="16080"/>
      <c r="AO9" s="16190"/>
      <c r="AP9" s="16192"/>
      <c r="AQ9" s="233"/>
      <c r="AR9" s="331"/>
      <c r="AS9" s="331" t="s">
        <v>637</v>
      </c>
      <c r="AT9" s="1270"/>
      <c r="AU9" s="1367"/>
      <c r="AV9" s="1270"/>
      <c r="AW9" s="1367"/>
      <c r="AX9" s="1270"/>
      <c r="AY9" s="1270"/>
      <c r="AZ9" s="1270"/>
      <c r="BA9" s="1270"/>
      <c r="BB9" s="1274"/>
      <c r="BC9" s="16120"/>
      <c r="BE9" s="407"/>
      <c r="BF9" s="407"/>
      <c r="BG9" s="407"/>
      <c r="BH9" s="407"/>
    </row>
    <row r="10" spans="1:60" ht="11.25" hidden="1" customHeight="1">
      <c r="A10" s="1240"/>
      <c r="B10" s="1240"/>
      <c r="C10" s="1240"/>
      <c r="D10" s="1240"/>
      <c r="E10" s="16125"/>
      <c r="F10" s="16125"/>
      <c r="G10" s="16125"/>
      <c r="H10" s="16125"/>
      <c r="I10" s="16145"/>
      <c r="J10" s="16145"/>
      <c r="K10" s="16122"/>
      <c r="L10" s="1241"/>
      <c r="P10" s="16123"/>
      <c r="Q10" s="16123"/>
      <c r="R10" s="16180"/>
      <c r="S10" s="16175"/>
      <c r="T10" s="16194"/>
      <c r="U10" s="217"/>
      <c r="V10" s="1270"/>
      <c r="W10" s="1367"/>
      <c r="X10" s="1270"/>
      <c r="Y10" s="1367"/>
      <c r="Z10" s="1270"/>
      <c r="AA10" s="1270"/>
      <c r="AB10" s="1270"/>
      <c r="AC10" s="1270"/>
      <c r="AD10" s="16045"/>
      <c r="AE10" s="16160"/>
      <c r="AF10" s="16080"/>
      <c r="AG10" s="16197"/>
      <c r="AH10" s="15973"/>
      <c r="AI10" s="16160"/>
      <c r="AJ10" s="16080"/>
      <c r="AK10" s="16196"/>
      <c r="AL10" s="15973"/>
      <c r="AM10" s="233"/>
      <c r="AN10" s="1371"/>
      <c r="AO10" s="1371" t="s">
        <v>638</v>
      </c>
      <c r="AP10" s="331"/>
      <c r="AQ10" s="331"/>
      <c r="AR10" s="331"/>
      <c r="AS10" s="1270"/>
      <c r="AT10" s="1270"/>
      <c r="AU10" s="1367"/>
      <c r="AV10" s="1270"/>
      <c r="AW10" s="1367"/>
      <c r="AX10" s="1270"/>
      <c r="AY10" s="1270"/>
      <c r="AZ10" s="1270"/>
      <c r="BA10" s="1270"/>
      <c r="BB10" s="1274"/>
      <c r="BC10" s="16120"/>
      <c r="BE10" s="407"/>
      <c r="BF10" s="407"/>
      <c r="BG10" s="407"/>
      <c r="BH10" s="407"/>
    </row>
    <row r="11" spans="1:60" ht="11.25" hidden="1" customHeight="1">
      <c r="A11" s="1240"/>
      <c r="B11" s="1240"/>
      <c r="C11" s="1240"/>
      <c r="D11" s="1240"/>
      <c r="E11" s="16125"/>
      <c r="F11" s="16125"/>
      <c r="G11" s="16125"/>
      <c r="H11" s="16125"/>
      <c r="I11" s="16145"/>
      <c r="J11" s="16145"/>
      <c r="K11" s="16122"/>
      <c r="L11" s="1241"/>
      <c r="P11" s="16123"/>
      <c r="Q11" s="16123"/>
      <c r="R11" s="16180"/>
      <c r="S11" s="16175"/>
      <c r="T11" s="16194"/>
      <c r="U11" s="217"/>
      <c r="V11" s="1270"/>
      <c r="W11" s="1367"/>
      <c r="X11" s="1270"/>
      <c r="Y11" s="1367"/>
      <c r="Z11" s="1270"/>
      <c r="AA11" s="1270"/>
      <c r="AB11" s="1270"/>
      <c r="AC11" s="1270"/>
      <c r="AD11" s="16045"/>
      <c r="AE11" s="16160"/>
      <c r="AF11" s="16080"/>
      <c r="AG11" s="16197"/>
      <c r="AH11" s="15973"/>
      <c r="AI11" s="211"/>
      <c r="AJ11" s="330"/>
      <c r="AK11" s="230" t="s">
        <v>639</v>
      </c>
      <c r="AL11" s="1270"/>
      <c r="AM11" s="1270"/>
      <c r="AN11" s="1270"/>
      <c r="AO11" s="1270"/>
      <c r="AP11" s="1270"/>
      <c r="AQ11" s="1270"/>
      <c r="AR11" s="1270"/>
      <c r="AS11" s="1270"/>
      <c r="AT11" s="1270"/>
      <c r="AU11" s="1367"/>
      <c r="AV11" s="1270"/>
      <c r="AW11" s="1367"/>
      <c r="AX11" s="1270"/>
      <c r="AY11" s="1270"/>
      <c r="AZ11" s="1270"/>
      <c r="BA11" s="1270"/>
      <c r="BB11" s="1274"/>
      <c r="BC11" s="16120"/>
      <c r="BE11" s="407"/>
      <c r="BF11" s="407"/>
      <c r="BG11" s="407"/>
      <c r="BH11" s="407"/>
    </row>
    <row r="12" spans="1:60" ht="11.25" hidden="1" customHeight="1">
      <c r="A12" s="1240"/>
      <c r="B12" s="1240"/>
      <c r="C12" s="1240"/>
      <c r="D12" s="1240"/>
      <c r="E12" s="16125"/>
      <c r="F12" s="16125"/>
      <c r="G12" s="16125"/>
      <c r="H12" s="16125"/>
      <c r="I12" s="16145"/>
      <c r="J12" s="16145"/>
      <c r="K12" s="16122"/>
      <c r="L12" s="1241"/>
      <c r="P12" s="16123"/>
      <c r="Q12" s="16123"/>
      <c r="R12" s="16180"/>
      <c r="S12" s="16176"/>
      <c r="T12" s="16195"/>
      <c r="U12" s="217"/>
      <c r="V12" s="1270"/>
      <c r="W12" s="1271" t="str">
        <f>Z8&amp;"-"&amp;AB8</f>
        <v>-</v>
      </c>
      <c r="X12" s="1270"/>
      <c r="Y12" s="1271" t="str">
        <f>AB8&amp;"-"&amp;AD8</f>
        <v>-да</v>
      </c>
      <c r="Z12" s="1270"/>
      <c r="AA12" s="1270"/>
      <c r="AB12" s="1270"/>
      <c r="AC12" s="1270"/>
      <c r="AD12" s="15978"/>
      <c r="AE12" s="229"/>
      <c r="AF12" s="231"/>
      <c r="AG12" s="331" t="s">
        <v>640</v>
      </c>
      <c r="AH12" s="1270"/>
      <c r="AI12" s="1270"/>
      <c r="AJ12" s="1270"/>
      <c r="AK12" s="1270"/>
      <c r="AL12" s="1270"/>
      <c r="AM12" s="1270"/>
      <c r="AN12" s="1270"/>
      <c r="AO12" s="1270"/>
      <c r="AP12" s="1270"/>
      <c r="AQ12" s="1270"/>
      <c r="AR12" s="1270"/>
      <c r="AS12" s="1270"/>
      <c r="AT12" s="1270"/>
      <c r="AU12" s="1271" t="str">
        <f>AX8&amp;"-"&amp;AZ8</f>
        <v>-</v>
      </c>
      <c r="AV12" s="1270"/>
      <c r="AW12" s="1271" t="str">
        <f>AZ8&amp;"-"&amp;BB8</f>
        <v>-</v>
      </c>
      <c r="AX12" s="1270"/>
      <c r="AY12" s="1270"/>
      <c r="AZ12" s="1270"/>
      <c r="BA12" s="1270"/>
      <c r="BB12" s="1273" t="str">
        <f>BE8&amp;"-"&amp;BG8</f>
        <v>-</v>
      </c>
      <c r="BC12" s="16120"/>
      <c r="BE12" s="407"/>
      <c r="BF12" s="407" t="str">
        <f t="shared" ref="BF12:BF18" si="1">IF(T12="","",T12)</f>
        <v/>
      </c>
      <c r="BG12" s="407"/>
      <c r="BH12" s="407"/>
    </row>
    <row r="13" spans="1:60" ht="11.25" hidden="1" customHeight="1">
      <c r="A13" s="1240"/>
      <c r="B13" s="1240"/>
      <c r="C13" s="1240"/>
      <c r="D13" s="1240"/>
      <c r="E13" s="16125"/>
      <c r="F13" s="16125"/>
      <c r="G13" s="16125"/>
      <c r="H13" s="16125"/>
      <c r="I13" s="16145"/>
      <c r="J13" s="16122"/>
      <c r="K13" s="1240"/>
      <c r="L13" s="1241"/>
      <c r="P13" s="16123"/>
      <c r="Q13" s="16123"/>
      <c r="R13" s="272"/>
      <c r="S13" s="1160"/>
      <c r="T13" s="204" t="s">
        <v>602</v>
      </c>
      <c r="U13" s="282"/>
      <c r="V13" s="282"/>
      <c r="W13" s="282"/>
      <c r="X13" s="282"/>
      <c r="Y13" s="282"/>
      <c r="Z13" s="282"/>
      <c r="AA13" s="282"/>
      <c r="AB13" s="282"/>
      <c r="AC13" s="282"/>
      <c r="AD13" s="1376"/>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16121"/>
      <c r="BE13" s="407"/>
      <c r="BF13" s="407" t="str">
        <f t="shared" si="1"/>
        <v>Добавить строку</v>
      </c>
      <c r="BG13" s="407"/>
      <c r="BH13" s="407"/>
    </row>
    <row r="14" spans="1:60" s="14421" customFormat="1" ht="14.25" hidden="1" customHeight="1">
      <c r="A14" s="1221"/>
      <c r="B14" s="1221"/>
      <c r="C14" s="1221"/>
      <c r="D14" s="1221"/>
      <c r="E14" s="16125"/>
      <c r="F14" s="16125"/>
      <c r="G14" s="16125"/>
      <c r="H14" s="16125"/>
      <c r="I14" s="16122"/>
      <c r="J14" s="1221"/>
      <c r="K14" s="1221"/>
      <c r="L14" s="1224"/>
      <c r="M14" s="417"/>
      <c r="N14" s="417"/>
      <c r="O14" s="417"/>
      <c r="P14" s="16123"/>
      <c r="Q14" s="1335"/>
      <c r="R14" s="272"/>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6"/>
      <c r="BE14" s="407"/>
      <c r="BF14" s="407" t="str">
        <f t="shared" si="1"/>
        <v/>
      </c>
      <c r="BG14" s="407"/>
      <c r="BH14" s="407"/>
    </row>
    <row r="15" spans="1:60" s="14421" customFormat="1" ht="14.25" hidden="1" customHeight="1">
      <c r="A15" s="1221"/>
      <c r="B15" s="1221"/>
      <c r="C15" s="1221"/>
      <c r="D15" s="1221"/>
      <c r="E15" s="16125"/>
      <c r="F15" s="16125"/>
      <c r="G15" s="16125"/>
      <c r="H15" s="16124"/>
      <c r="I15" s="1221"/>
      <c r="J15" s="1221"/>
      <c r="K15" s="1221"/>
      <c r="L15" s="1224"/>
      <c r="M15" s="1194"/>
      <c r="N15" s="1194"/>
      <c r="O15" s="425"/>
      <c r="P15" s="295"/>
      <c r="Q15" s="1222"/>
      <c r="R15" s="1278"/>
      <c r="S15" s="1263"/>
      <c r="T15" s="1264"/>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6"/>
      <c r="BE15" s="407"/>
      <c r="BF15" s="407" t="str">
        <f t="shared" si="1"/>
        <v/>
      </c>
      <c r="BG15" s="407"/>
      <c r="BH15" s="407"/>
    </row>
    <row r="16" spans="1:60" s="14418" customFormat="1" ht="14.25" hidden="1" customHeight="1">
      <c r="A16" s="1221"/>
      <c r="B16" s="1221"/>
      <c r="C16" s="1221"/>
      <c r="D16" s="1193"/>
      <c r="E16" s="16125"/>
      <c r="F16" s="16125"/>
      <c r="G16" s="16124"/>
      <c r="H16" s="1193"/>
      <c r="I16" s="1193"/>
      <c r="J16" s="1193"/>
      <c r="K16" s="1193"/>
      <c r="L16" s="1337"/>
      <c r="M16" s="1194"/>
      <c r="N16" s="1194"/>
      <c r="P16" s="1195"/>
      <c r="Q16" s="1196"/>
      <c r="R16" s="1195"/>
      <c r="S16" s="1201"/>
      <c r="T16" s="1204"/>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E16" s="687"/>
      <c r="BF16" s="687" t="str">
        <f t="shared" si="1"/>
        <v/>
      </c>
      <c r="BG16" s="687"/>
      <c r="BH16" s="687"/>
    </row>
    <row r="17" spans="1:60" s="14418" customFormat="1" ht="14.25" hidden="1" customHeight="1">
      <c r="A17" s="1221"/>
      <c r="B17" s="1221"/>
      <c r="C17" s="1193"/>
      <c r="D17" s="1193"/>
      <c r="E17" s="16125"/>
      <c r="F17" s="16124"/>
      <c r="G17" s="1193"/>
      <c r="H17" s="1193"/>
      <c r="I17" s="1193"/>
      <c r="J17" s="1193"/>
      <c r="K17" s="1193"/>
      <c r="L17" s="1337"/>
      <c r="M17" s="1200"/>
      <c r="N17" s="1200"/>
      <c r="P17" s="1195"/>
      <c r="Q17" s="1196"/>
      <c r="R17" s="1195"/>
      <c r="S17" s="1201"/>
      <c r="T17" s="1204" t="s">
        <v>290</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E17" s="687"/>
      <c r="BF17" s="687" t="str">
        <f t="shared" si="1"/>
        <v>Добавить централизованную систему для дифференциации</v>
      </c>
      <c r="BG17" s="687"/>
      <c r="BH17" s="687"/>
    </row>
    <row r="18" spans="1:60" s="14421" customFormat="1" ht="14.25" hidden="1" customHeight="1">
      <c r="A18" s="1221"/>
      <c r="B18" s="1221"/>
      <c r="C18" s="1221"/>
      <c r="D18" s="1221"/>
      <c r="E18" s="16124"/>
      <c r="F18" s="1221"/>
      <c r="G18" s="1221"/>
      <c r="H18" s="1221"/>
      <c r="I18" s="1221"/>
      <c r="J18" s="1221"/>
      <c r="K18" s="1221"/>
      <c r="L18" s="1224"/>
      <c r="M18" s="1200"/>
      <c r="N18" s="1200"/>
      <c r="O18" s="425"/>
      <c r="P18" s="295"/>
      <c r="Q18" s="1222"/>
      <c r="R18" s="295"/>
      <c r="S18" s="1201"/>
      <c r="T18" s="1204" t="s">
        <v>326</v>
      </c>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3" t="s">
        <v>56</v>
      </c>
      <c r="AE20" s="1372"/>
      <c r="AF20" s="454">
        <v>1</v>
      </c>
      <c r="AG20" s="1373"/>
      <c r="AH20" s="1203" t="s">
        <v>56</v>
      </c>
      <c r="AI20" s="1372"/>
      <c r="AJ20" s="454">
        <v>1</v>
      </c>
      <c r="AK20" s="1373"/>
      <c r="AL20" s="1203" t="s">
        <v>56</v>
      </c>
      <c r="AM20" s="1374"/>
      <c r="AN20" s="454">
        <v>1</v>
      </c>
      <c r="AO20" s="1375"/>
      <c r="AP20" s="1203" t="s">
        <v>56</v>
      </c>
      <c r="AQ20" s="1374"/>
      <c r="AR20" s="454">
        <v>1</v>
      </c>
      <c r="AS20" s="1375"/>
      <c r="AT20" s="242"/>
      <c r="AU20" s="299"/>
      <c r="AV20" s="242"/>
      <c r="AW20" s="299"/>
      <c r="AX20" s="1598"/>
      <c r="AY20" s="1334" t="s">
        <v>66</v>
      </c>
      <c r="AZ20" s="1598"/>
      <c r="BA20" s="1334" t="s">
        <v>66</v>
      </c>
    </row>
    <row r="21" spans="1:60" ht="14.25" hidden="1" customHeight="1">
      <c r="BD21" s="403"/>
      <c r="BE21" s="403"/>
      <c r="BF21" s="403"/>
      <c r="BG21" s="403"/>
      <c r="BH21" s="403"/>
    </row>
    <row r="22" spans="1:60" ht="14.25" hidden="1" customHeight="1">
      <c r="O22" s="1244" t="s">
        <v>552</v>
      </c>
      <c r="Z22" s="1223"/>
      <c r="AB22" s="1223"/>
      <c r="AC22" s="244"/>
      <c r="AX22" s="1223"/>
      <c r="AZ22" s="1223"/>
      <c r="BA22" s="244"/>
      <c r="BD22" s="403"/>
      <c r="BE22" s="403"/>
      <c r="BF22" s="403"/>
      <c r="BG22" s="403"/>
      <c r="BH22" s="403"/>
    </row>
    <row r="23" spans="1:60" ht="14.25" hidden="1" customHeight="1">
      <c r="AC23" s="244"/>
      <c r="BA23" s="244"/>
      <c r="BD23" s="403"/>
      <c r="BE23" s="403"/>
      <c r="BF23" s="403"/>
      <c r="BG23" s="403"/>
      <c r="BH23" s="403"/>
    </row>
    <row r="24" spans="1:60" s="14438" customFormat="1" ht="14.25" hidden="1" customHeight="1">
      <c r="M24" s="1379"/>
      <c r="N24" s="1379"/>
      <c r="O24" s="1380" t="s">
        <v>553</v>
      </c>
      <c r="P24" s="1379"/>
      <c r="Q24" s="1381"/>
      <c r="R24" s="1381"/>
      <c r="AA24" s="1378" t="s">
        <v>555</v>
      </c>
      <c r="AC24" s="1378" t="s">
        <v>556</v>
      </c>
      <c r="AD24" s="1378" t="s">
        <v>603</v>
      </c>
      <c r="AH24" s="1378" t="s">
        <v>603</v>
      </c>
      <c r="AK24" s="1378" t="s">
        <v>641</v>
      </c>
      <c r="AL24" s="1378" t="s">
        <v>603</v>
      </c>
      <c r="AP24" s="1378" t="s">
        <v>603</v>
      </c>
      <c r="AY24" s="1378" t="s">
        <v>555</v>
      </c>
      <c r="BA24" s="1378" t="s">
        <v>556</v>
      </c>
      <c r="BD24" s="1382"/>
      <c r="BE24" s="1382"/>
      <c r="BF24" s="1382"/>
      <c r="BG24" s="1382"/>
      <c r="BH24" s="1382"/>
    </row>
    <row r="25" spans="1:60" ht="14.25" hidden="1" customHeight="1">
      <c r="O25" s="1241"/>
      <c r="BD25" s="403"/>
      <c r="BE25" s="403"/>
      <c r="BF25" s="403"/>
      <c r="BG25" s="403"/>
      <c r="BH25" s="403"/>
    </row>
    <row r="26" spans="1:60" ht="14.25" hidden="1" customHeight="1">
      <c r="O26" s="1241"/>
      <c r="BD26" s="403"/>
      <c r="BE26" s="403"/>
      <c r="BF26" s="403"/>
      <c r="BG26" s="403"/>
      <c r="BH26" s="403"/>
    </row>
    <row r="27" spans="1:60" ht="14.25" customHeight="1">
      <c r="Q27" s="208"/>
      <c r="R27" s="291"/>
      <c r="S27" s="1157"/>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1610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6108"/>
      <c r="U28" s="16108"/>
      <c r="V28" s="16108"/>
      <c r="W28" s="16108"/>
      <c r="X28" s="16108"/>
      <c r="Y28" s="16108"/>
      <c r="Z28" s="16108"/>
      <c r="AA28" s="16108"/>
      <c r="AB28" s="16108"/>
      <c r="AC28" s="16108"/>
      <c r="AD28" s="16108"/>
      <c r="AE28" s="16108"/>
      <c r="AF28" s="16108"/>
      <c r="AG28" s="16108"/>
      <c r="AH28" s="16108"/>
      <c r="AI28" s="16108"/>
      <c r="AJ28" s="16108"/>
      <c r="AK28" s="16108"/>
      <c r="AL28" s="16108"/>
      <c r="AM28" s="16108"/>
      <c r="AN28" s="16108"/>
      <c r="AO28" s="16108"/>
      <c r="AP28" s="16108"/>
      <c r="AQ28" s="16108"/>
      <c r="AR28" s="16108"/>
      <c r="AS28" s="16108"/>
      <c r="AT28" s="16108"/>
      <c r="AU28" s="16108"/>
      <c r="AV28" s="16108"/>
      <c r="AW28" s="16108"/>
      <c r="AX28" s="16108"/>
      <c r="AY28" s="16108"/>
      <c r="AZ28" s="16108"/>
      <c r="BA28" s="1125"/>
    </row>
    <row r="29" spans="1:60" ht="14.25" customHeight="1">
      <c r="Q29" s="208"/>
      <c r="R29" s="291"/>
      <c r="S29" s="16056" t="str">
        <f>IF(org=0,"Не определено",org)</f>
        <v>АО "Мурманэнергосбыт"</v>
      </c>
      <c r="T29" s="16056"/>
      <c r="U29" s="16056"/>
      <c r="V29" s="16056"/>
      <c r="W29" s="16056"/>
      <c r="X29" s="16056"/>
      <c r="Y29" s="16056"/>
      <c r="Z29" s="16056"/>
      <c r="AA29" s="16056"/>
      <c r="AB29" s="16056"/>
      <c r="AC29" s="16056"/>
      <c r="AD29" s="16056"/>
      <c r="AE29" s="16056"/>
      <c r="AF29" s="16056"/>
      <c r="AG29" s="16056"/>
      <c r="AH29" s="16056"/>
      <c r="AI29" s="16056"/>
      <c r="AJ29" s="16056"/>
      <c r="AK29" s="16056"/>
      <c r="AL29" s="16056"/>
      <c r="AM29" s="16056"/>
      <c r="AN29" s="16056"/>
      <c r="AO29" s="16056"/>
      <c r="AP29" s="16056"/>
      <c r="AQ29" s="16056"/>
      <c r="AR29" s="16056"/>
      <c r="AS29" s="16056"/>
      <c r="AT29" s="16056"/>
      <c r="AU29" s="16056"/>
      <c r="AV29" s="16056"/>
      <c r="AW29" s="16056"/>
      <c r="AX29" s="16056"/>
      <c r="AY29" s="16056"/>
      <c r="AZ29" s="16056"/>
      <c r="BA29" s="1125"/>
    </row>
    <row r="30" spans="1:60" ht="14.25" customHeight="1">
      <c r="Q30" s="208"/>
      <c r="R30" s="291"/>
      <c r="S30" s="1157"/>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4420" customFormat="1" ht="25.5" customHeight="1">
      <c r="A31" s="1245"/>
      <c r="B31" s="1245"/>
      <c r="C31" s="1245"/>
      <c r="D31" s="1245"/>
      <c r="E31" s="1245"/>
      <c r="F31" s="1245"/>
      <c r="G31" s="1245"/>
      <c r="H31" s="1245"/>
      <c r="I31" s="1245"/>
      <c r="J31" s="1245"/>
      <c r="K31" s="1245"/>
      <c r="L31" s="1246"/>
      <c r="M31" s="1245"/>
      <c r="N31" s="1245"/>
      <c r="O31" s="1245"/>
      <c r="P31" s="1245"/>
      <c r="Q31" s="1245"/>
      <c r="S31" s="16116" t="s">
        <v>38</v>
      </c>
      <c r="T31" s="16116"/>
      <c r="U31" s="1249"/>
      <c r="V31" s="16117" t="str">
        <f>IF(TITLE_NAME_OR_PR_CHANGE="",IF(TITLE_NAME_OR_PR="","",TITLE_NAME_OR_PR),TITLE_NAME_OR_PR_CHANGE)</f>
        <v>Комитет по тарифному регулированию Мурманской области</v>
      </c>
      <c r="W31" s="16117"/>
      <c r="X31" s="16117"/>
      <c r="Y31" s="16117"/>
      <c r="Z31" s="16117"/>
      <c r="AA31" s="16117"/>
      <c r="AB31" s="16117"/>
      <c r="AC31" s="243"/>
      <c r="AD31" s="16117" t="str">
        <f>IF(TITLE_NAME_OR_PR_CHANGE="",IF(TITLE_NAME_OR_PR="","",TITLE_NAME_OR_PR),TITLE_NAME_OR_PR_CHANGE)</f>
        <v>Комитет по тарифному регулированию Мурманской области</v>
      </c>
      <c r="AE31" s="16117"/>
      <c r="AF31" s="16117"/>
      <c r="AG31" s="16117"/>
      <c r="AH31" s="16117"/>
      <c r="AI31" s="16117"/>
      <c r="AJ31" s="16117"/>
      <c r="AK31" s="16117"/>
      <c r="AL31" s="16117"/>
      <c r="AM31" s="16117"/>
      <c r="AN31" s="16117"/>
      <c r="AO31" s="16117"/>
      <c r="AP31" s="16117"/>
      <c r="AQ31" s="16117"/>
      <c r="AR31" s="16117"/>
      <c r="AS31" s="16117"/>
      <c r="AT31" s="16117"/>
      <c r="AU31" s="16117"/>
      <c r="AV31" s="16117"/>
      <c r="AW31" s="16117"/>
      <c r="AX31" s="16117"/>
      <c r="AY31" s="16117"/>
      <c r="AZ31" s="16117"/>
      <c r="BA31" s="243"/>
      <c r="BB31" s="243"/>
      <c r="BC31" s="198"/>
      <c r="BD31" s="283"/>
      <c r="BE31" s="283"/>
      <c r="BF31" s="283"/>
      <c r="BG31" s="283"/>
      <c r="BH31" s="283"/>
    </row>
    <row r="32" spans="1:60" s="14420" customFormat="1" ht="18.75" customHeight="1">
      <c r="A32" s="1245"/>
      <c r="B32" s="1245"/>
      <c r="C32" s="1245"/>
      <c r="D32" s="1245"/>
      <c r="E32" s="1245"/>
      <c r="F32" s="1245"/>
      <c r="G32" s="1245"/>
      <c r="H32" s="1245"/>
      <c r="I32" s="1245"/>
      <c r="J32" s="1245"/>
      <c r="K32" s="1245"/>
      <c r="L32" s="1246"/>
      <c r="M32" s="1245"/>
      <c r="N32" s="1245"/>
      <c r="O32" s="1245"/>
      <c r="P32" s="1245"/>
      <c r="Q32" s="1245"/>
      <c r="S32" s="16116" t="s">
        <v>558</v>
      </c>
      <c r="T32" s="16116"/>
      <c r="U32" s="1249"/>
      <c r="V32" s="16126">
        <f>IF(TITLE_DATE_PR_CHANGE="",IF(TITLE_DATE_PR="","",TITLE_DATE_PR),TITLE_DATE_PR_CHANGE)</f>
        <v>45379</v>
      </c>
      <c r="W32" s="16126"/>
      <c r="X32" s="16126"/>
      <c r="Y32" s="16126"/>
      <c r="Z32" s="16126"/>
      <c r="AA32" s="16126"/>
      <c r="AB32" s="16126"/>
      <c r="AC32" s="243"/>
      <c r="AD32" s="16126">
        <f>IF(TITLE_DATE_PR_CHANGE="",IF(TITLE_DATE_PR="","",TITLE_DATE_PR),TITLE_DATE_PR_CHANGE)</f>
        <v>45379</v>
      </c>
      <c r="AE32" s="16126"/>
      <c r="AF32" s="16126"/>
      <c r="AG32" s="16126"/>
      <c r="AH32" s="16126"/>
      <c r="AI32" s="16126"/>
      <c r="AJ32" s="16126"/>
      <c r="AK32" s="16126"/>
      <c r="AL32" s="16126"/>
      <c r="AM32" s="16126"/>
      <c r="AN32" s="16126"/>
      <c r="AO32" s="16126"/>
      <c r="AP32" s="16126"/>
      <c r="AQ32" s="16126"/>
      <c r="AR32" s="16126"/>
      <c r="AS32" s="16126"/>
      <c r="AT32" s="16126"/>
      <c r="AU32" s="16126"/>
      <c r="AV32" s="16126"/>
      <c r="AW32" s="16126"/>
      <c r="AX32" s="16126"/>
      <c r="AY32" s="16126"/>
      <c r="AZ32" s="16126"/>
      <c r="BA32" s="243"/>
      <c r="BB32" s="243"/>
      <c r="BC32" s="198"/>
      <c r="BD32" s="283"/>
      <c r="BE32" s="283"/>
      <c r="BF32" s="283"/>
      <c r="BG32" s="283"/>
      <c r="BH32" s="283"/>
    </row>
    <row r="33" spans="1:60" s="14420" customFormat="1" ht="18.75" customHeight="1">
      <c r="A33" s="1245"/>
      <c r="B33" s="1245"/>
      <c r="C33" s="1245"/>
      <c r="D33" s="1245"/>
      <c r="E33" s="1245"/>
      <c r="F33" s="1245"/>
      <c r="G33" s="1245"/>
      <c r="H33" s="1245"/>
      <c r="I33" s="1245"/>
      <c r="J33" s="1245"/>
      <c r="K33" s="1245"/>
      <c r="L33" s="1246"/>
      <c r="M33" s="1245"/>
      <c r="N33" s="1245"/>
      <c r="O33" s="1245"/>
      <c r="P33" s="1245"/>
      <c r="Q33" s="1245"/>
      <c r="S33" s="16116" t="s">
        <v>559</v>
      </c>
      <c r="T33" s="16116"/>
      <c r="U33" s="1249"/>
      <c r="V33" s="16117" t="str">
        <f>IF(TITLE_NUMBER_PR_CHANGE="",IF(TITLE_NUMBER_PR="","",TITLE_NUMBER_PR),TITLE_NUMBER_PR_CHANGE)</f>
        <v>8/6</v>
      </c>
      <c r="W33" s="16117"/>
      <c r="X33" s="16117"/>
      <c r="Y33" s="16117"/>
      <c r="Z33" s="16117"/>
      <c r="AA33" s="16117"/>
      <c r="AB33" s="16117"/>
      <c r="AC33" s="243"/>
      <c r="AD33" s="16117" t="str">
        <f>IF(TITLE_NUMBER_PR_CHANGE="",IF(TITLE_NUMBER_PR="","",TITLE_NUMBER_PR),TITLE_NUMBER_PR_CHANGE)</f>
        <v>8/6</v>
      </c>
      <c r="AE33" s="16117"/>
      <c r="AF33" s="16117"/>
      <c r="AG33" s="16117"/>
      <c r="AH33" s="16117"/>
      <c r="AI33" s="16117"/>
      <c r="AJ33" s="16117"/>
      <c r="AK33" s="16117"/>
      <c r="AL33" s="16117"/>
      <c r="AM33" s="16117"/>
      <c r="AN33" s="16117"/>
      <c r="AO33" s="16117"/>
      <c r="AP33" s="16117"/>
      <c r="AQ33" s="16117"/>
      <c r="AR33" s="16117"/>
      <c r="AS33" s="16117"/>
      <c r="AT33" s="16117"/>
      <c r="AU33" s="16117"/>
      <c r="AV33" s="16117"/>
      <c r="AW33" s="16117"/>
      <c r="AX33" s="16117"/>
      <c r="AY33" s="16117"/>
      <c r="AZ33" s="16117"/>
      <c r="BA33" s="243"/>
      <c r="BB33" s="243"/>
      <c r="BC33" s="198"/>
      <c r="BD33" s="283"/>
      <c r="BE33" s="283"/>
      <c r="BF33" s="283"/>
      <c r="BG33" s="283"/>
      <c r="BH33" s="283"/>
    </row>
    <row r="34" spans="1:60" s="14420" customFormat="1" ht="18.75" customHeight="1">
      <c r="A34" s="1245"/>
      <c r="B34" s="1245"/>
      <c r="C34" s="1245"/>
      <c r="D34" s="1245"/>
      <c r="E34" s="1245"/>
      <c r="F34" s="1245"/>
      <c r="G34" s="1245"/>
      <c r="H34" s="1245"/>
      <c r="I34" s="1245"/>
      <c r="J34" s="1245"/>
      <c r="K34" s="1245"/>
      <c r="L34" s="1246"/>
      <c r="M34" s="1245"/>
      <c r="N34" s="1245"/>
      <c r="O34" s="1245"/>
      <c r="P34" s="1245"/>
      <c r="Q34" s="1245"/>
      <c r="S34" s="16116" t="s">
        <v>40</v>
      </c>
      <c r="T34" s="16116"/>
      <c r="U34" s="1249"/>
      <c r="V34" s="16117" t="str">
        <f>IF(TITLE_IST_PUB_CHANGE="",IF(TITLE_IST_PUB="","",TITLE_IST_PUB),TITLE_IST_PUB_CHANGE)</f>
        <v>https://npa.gov-murman.ru/bitrix/components/b1team/govmurman.element.file/download.php?ID=518761&amp;FID=765125</v>
      </c>
      <c r="W34" s="16117"/>
      <c r="X34" s="16117"/>
      <c r="Y34" s="16117"/>
      <c r="Z34" s="16117"/>
      <c r="AA34" s="16117"/>
      <c r="AB34" s="16117"/>
      <c r="AC34" s="243"/>
      <c r="AD34" s="16117" t="str">
        <f>IF(TITLE_IST_PUB_CHANGE="",IF(TITLE_IST_PUB="","",TITLE_IST_PUB),TITLE_IST_PUB_CHANGE)</f>
        <v>https://npa.gov-murman.ru/bitrix/components/b1team/govmurman.element.file/download.php?ID=518761&amp;FID=765125</v>
      </c>
      <c r="AE34" s="16117"/>
      <c r="AF34" s="16117"/>
      <c r="AG34" s="16117"/>
      <c r="AH34" s="16117"/>
      <c r="AI34" s="16117"/>
      <c r="AJ34" s="16117"/>
      <c r="AK34" s="16117"/>
      <c r="AL34" s="16117"/>
      <c r="AM34" s="16117"/>
      <c r="AN34" s="16117"/>
      <c r="AO34" s="16117"/>
      <c r="AP34" s="16117"/>
      <c r="AQ34" s="16117"/>
      <c r="AR34" s="16117"/>
      <c r="AS34" s="16117"/>
      <c r="AT34" s="16117"/>
      <c r="AU34" s="16117"/>
      <c r="AV34" s="16117"/>
      <c r="AW34" s="16117"/>
      <c r="AX34" s="16117"/>
      <c r="AY34" s="16117"/>
      <c r="AZ34" s="16117"/>
      <c r="BA34" s="243"/>
      <c r="BB34" s="243"/>
      <c r="BC34" s="198"/>
      <c r="BD34" s="283"/>
      <c r="BE34" s="283"/>
      <c r="BF34" s="283"/>
      <c r="BG34" s="283"/>
      <c r="BH34" s="283"/>
    </row>
    <row r="35" spans="1:60" ht="14.25" hidden="1" customHeight="1">
      <c r="Q35" s="208"/>
      <c r="R35" s="291"/>
      <c r="S35" s="1157"/>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4420" customFormat="1" ht="18.75" hidden="1" customHeight="1">
      <c r="A36" s="1245"/>
      <c r="B36" s="1245"/>
      <c r="C36" s="1245"/>
      <c r="D36" s="1245"/>
      <c r="E36" s="1245"/>
      <c r="F36" s="1245"/>
      <c r="G36" s="1245"/>
      <c r="H36" s="1245"/>
      <c r="I36" s="1245"/>
      <c r="J36" s="1245"/>
      <c r="K36" s="1245"/>
      <c r="L36" s="1246"/>
      <c r="M36" s="1245"/>
      <c r="N36" s="1245"/>
      <c r="O36" s="1245"/>
      <c r="P36" s="1245"/>
      <c r="Q36" s="1245"/>
      <c r="S36" s="16116" t="s">
        <v>558</v>
      </c>
      <c r="T36" s="16116"/>
      <c r="U36" s="1249"/>
      <c r="V36" s="16126">
        <f>IF(TITLE_DATE_PR_CHANGE="",IF(TITLE_DATE_PR="","",TITLE_DATE_PR),TITLE_DATE_PR_CHANGE)</f>
        <v>45379</v>
      </c>
      <c r="W36" s="16126"/>
      <c r="X36" s="16126"/>
      <c r="Y36" s="16126"/>
      <c r="Z36" s="16126"/>
      <c r="AA36" s="16126"/>
      <c r="AB36" s="16126"/>
      <c r="AC36" s="243"/>
      <c r="AD36" s="16126">
        <f>IF(TITLE_DATE_PR_CHANGE="",IF(TITLE_DATE_PR="","",TITLE_DATE_PR),TITLE_DATE_PR_CHANGE)</f>
        <v>45379</v>
      </c>
      <c r="AE36" s="16126"/>
      <c r="AF36" s="16126"/>
      <c r="AG36" s="16126"/>
      <c r="AH36" s="16126"/>
      <c r="AI36" s="16126"/>
      <c r="AJ36" s="16126"/>
      <c r="AK36" s="16126"/>
      <c r="AL36" s="16126"/>
      <c r="AM36" s="16126"/>
      <c r="AN36" s="16126"/>
      <c r="AO36" s="16126"/>
      <c r="AP36" s="16126"/>
      <c r="AQ36" s="16126"/>
      <c r="AR36" s="16126"/>
      <c r="AS36" s="16126"/>
      <c r="AT36" s="16126"/>
      <c r="AU36" s="16126"/>
      <c r="AV36" s="16126"/>
      <c r="AW36" s="16126"/>
      <c r="AX36" s="16126"/>
      <c r="AY36" s="16126"/>
      <c r="AZ36" s="16126"/>
      <c r="BA36" s="243"/>
      <c r="BB36" s="243"/>
      <c r="BC36" s="198"/>
      <c r="BD36" s="283"/>
      <c r="BE36" s="283"/>
      <c r="BF36" s="283"/>
      <c r="BG36" s="283"/>
      <c r="BH36" s="283"/>
    </row>
    <row r="37" spans="1:60" s="14420" customFormat="1" ht="18.75" hidden="1" customHeight="1">
      <c r="A37" s="1245"/>
      <c r="B37" s="1245"/>
      <c r="C37" s="1245"/>
      <c r="D37" s="1245"/>
      <c r="E37" s="1245"/>
      <c r="F37" s="1245"/>
      <c r="G37" s="1245"/>
      <c r="H37" s="1245"/>
      <c r="I37" s="1245"/>
      <c r="J37" s="1245"/>
      <c r="K37" s="1245"/>
      <c r="L37" s="1246"/>
      <c r="M37" s="1245"/>
      <c r="N37" s="1245"/>
      <c r="O37" s="1245"/>
      <c r="P37" s="1245"/>
      <c r="Q37" s="1245"/>
      <c r="S37" s="16116" t="s">
        <v>559</v>
      </c>
      <c r="T37" s="16116"/>
      <c r="U37" s="1249"/>
      <c r="V37" s="16117" t="str">
        <f>IF(TITLE_NUMBER_PR_CHANGE="",IF(TITLE_NUMBER_PR="","",TITLE_NUMBER_PR),TITLE_NUMBER_PR_CHANGE)</f>
        <v>8/6</v>
      </c>
      <c r="W37" s="16117"/>
      <c r="X37" s="16117"/>
      <c r="Y37" s="16117"/>
      <c r="Z37" s="16117"/>
      <c r="AA37" s="16117"/>
      <c r="AB37" s="16117"/>
      <c r="AC37" s="243"/>
      <c r="AD37" s="16117" t="str">
        <f>IF(TITLE_NUMBER_PR_CHANGE="",IF(TITLE_NUMBER_PR="","",TITLE_NUMBER_PR),TITLE_NUMBER_PR_CHANGE)</f>
        <v>8/6</v>
      </c>
      <c r="AE37" s="16117"/>
      <c r="AF37" s="16117"/>
      <c r="AG37" s="16117"/>
      <c r="AH37" s="16117"/>
      <c r="AI37" s="16117"/>
      <c r="AJ37" s="16117"/>
      <c r="AK37" s="16117"/>
      <c r="AL37" s="16117"/>
      <c r="AM37" s="16117"/>
      <c r="AN37" s="16117"/>
      <c r="AO37" s="16117"/>
      <c r="AP37" s="16117"/>
      <c r="AQ37" s="16117"/>
      <c r="AR37" s="16117"/>
      <c r="AS37" s="16117"/>
      <c r="AT37" s="16117"/>
      <c r="AU37" s="16117"/>
      <c r="AV37" s="16117"/>
      <c r="AW37" s="16117"/>
      <c r="AX37" s="16117"/>
      <c r="AY37" s="16117"/>
      <c r="AZ37" s="16117"/>
      <c r="BA37" s="243"/>
      <c r="BB37" s="243"/>
      <c r="BC37" s="198"/>
      <c r="BD37" s="283"/>
      <c r="BE37" s="283"/>
      <c r="BF37" s="283"/>
      <c r="BG37" s="283"/>
      <c r="BH37" s="283"/>
    </row>
    <row r="38" spans="1:60" s="14420" customFormat="1" ht="0" hidden="1" customHeight="1">
      <c r="A38" s="1245"/>
      <c r="B38" s="1245"/>
      <c r="C38" s="1245"/>
      <c r="D38" s="1245"/>
      <c r="E38" s="1245"/>
      <c r="F38" s="1245"/>
      <c r="G38" s="1245"/>
      <c r="H38" s="1245"/>
      <c r="I38" s="1245"/>
      <c r="J38" s="1245"/>
      <c r="K38" s="1245"/>
      <c r="L38" s="1246"/>
      <c r="M38" s="1245"/>
      <c r="N38" s="1245"/>
      <c r="O38" s="1245"/>
      <c r="P38" s="1245"/>
      <c r="Q38" s="1245"/>
      <c r="S38" s="240"/>
      <c r="T38" s="240"/>
      <c r="U38" s="1328"/>
      <c r="V38" s="243"/>
      <c r="W38" s="243"/>
      <c r="X38" s="243"/>
      <c r="Y38" s="243"/>
      <c r="Z38" s="243"/>
      <c r="AA38" s="243"/>
      <c r="AB38" s="243"/>
      <c r="AC38" s="196" t="s">
        <v>562</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562</v>
      </c>
      <c r="BD38" s="283"/>
      <c r="BE38" s="283"/>
      <c r="BF38" s="283"/>
      <c r="BG38" s="283"/>
      <c r="BH38" s="283"/>
    </row>
    <row r="39" spans="1:60" ht="14.25" customHeight="1">
      <c r="Q39" s="208"/>
      <c r="R39" s="291"/>
      <c r="S39" s="1157"/>
      <c r="T39" s="279"/>
      <c r="U39" s="1126"/>
      <c r="V39" s="16118"/>
      <c r="W39" s="16118"/>
      <c r="X39" s="16118"/>
      <c r="Y39" s="16118"/>
      <c r="Z39" s="16118"/>
      <c r="AA39" s="16118"/>
      <c r="AB39" s="16118"/>
      <c r="AC39" s="16118"/>
      <c r="AD39" s="16118"/>
      <c r="AE39" s="16118"/>
      <c r="AF39" s="16118"/>
      <c r="AG39" s="16118"/>
      <c r="AH39" s="16118"/>
      <c r="AI39" s="16118"/>
      <c r="AJ39" s="16118"/>
      <c r="AK39" s="16118"/>
      <c r="AL39" s="16118"/>
      <c r="AM39" s="16118"/>
      <c r="AN39" s="16118"/>
      <c r="AO39" s="16118"/>
      <c r="AP39" s="16118"/>
      <c r="AQ39" s="16118"/>
      <c r="AR39" s="16118"/>
      <c r="AS39" s="16118"/>
      <c r="AT39" s="16118"/>
      <c r="AU39" s="16118"/>
      <c r="AV39" s="16118"/>
      <c r="AW39" s="16118"/>
      <c r="AX39" s="16118"/>
      <c r="AY39" s="16118"/>
      <c r="AZ39" s="16118"/>
      <c r="BA39" s="16118"/>
    </row>
    <row r="40" spans="1:60" ht="14.25" customHeight="1">
      <c r="Q40" s="208"/>
      <c r="R40" s="291"/>
      <c r="S40" s="15992" t="s">
        <v>437</v>
      </c>
      <c r="T40" s="15992"/>
      <c r="U40" s="15992"/>
      <c r="V40" s="15992"/>
      <c r="W40" s="15992"/>
      <c r="X40" s="15992"/>
      <c r="Y40" s="15992"/>
      <c r="Z40" s="15992"/>
      <c r="AA40" s="15992"/>
      <c r="AB40" s="15992"/>
      <c r="AC40" s="15992"/>
      <c r="AD40" s="15992"/>
      <c r="AE40" s="15992"/>
      <c r="AF40" s="15992"/>
      <c r="AG40" s="15992"/>
      <c r="AH40" s="15992"/>
      <c r="AI40" s="15992"/>
      <c r="AJ40" s="15992"/>
      <c r="AK40" s="15992"/>
      <c r="AL40" s="15992"/>
      <c r="AM40" s="15992"/>
      <c r="AN40" s="15992"/>
      <c r="AO40" s="15992"/>
      <c r="AP40" s="15992"/>
      <c r="AQ40" s="15992"/>
      <c r="AR40" s="15992"/>
      <c r="AS40" s="15992"/>
      <c r="AT40" s="15992"/>
      <c r="AU40" s="15992"/>
      <c r="AV40" s="15992"/>
      <c r="AW40" s="15992"/>
      <c r="AX40" s="15992"/>
      <c r="AY40" s="15992"/>
      <c r="AZ40" s="15992"/>
      <c r="BA40" s="15992"/>
      <c r="BB40" s="15992"/>
      <c r="BC40" s="15992" t="s">
        <v>438</v>
      </c>
    </row>
    <row r="41" spans="1:60" ht="14.25" customHeight="1">
      <c r="Q41" s="208"/>
      <c r="R41" s="291"/>
      <c r="S41" s="16132" t="s">
        <v>87</v>
      </c>
      <c r="T41" s="16084" t="s">
        <v>642</v>
      </c>
      <c r="U41" s="218"/>
      <c r="V41" s="16133" t="s">
        <v>564</v>
      </c>
      <c r="W41" s="16134"/>
      <c r="X41" s="16134"/>
      <c r="Y41" s="16134"/>
      <c r="Z41" s="16134"/>
      <c r="AA41" s="16134"/>
      <c r="AB41" s="16135"/>
      <c r="AC41" s="16136" t="s">
        <v>565</v>
      </c>
      <c r="AD41" s="16162" t="s">
        <v>643</v>
      </c>
      <c r="AE41" s="16150"/>
      <c r="AF41" s="16150"/>
      <c r="AG41" s="16163"/>
      <c r="AH41" s="16162" t="s">
        <v>644</v>
      </c>
      <c r="AI41" s="16150"/>
      <c r="AJ41" s="16150"/>
      <c r="AK41" s="16163"/>
      <c r="AL41" s="16162" t="s">
        <v>645</v>
      </c>
      <c r="AM41" s="16150"/>
      <c r="AN41" s="16150"/>
      <c r="AO41" s="16163"/>
      <c r="AP41" s="16162" t="s">
        <v>646</v>
      </c>
      <c r="AQ41" s="16150"/>
      <c r="AR41" s="16150"/>
      <c r="AS41" s="16163"/>
      <c r="AT41" s="16133" t="s">
        <v>564</v>
      </c>
      <c r="AU41" s="16134"/>
      <c r="AV41" s="16134"/>
      <c r="AW41" s="16134"/>
      <c r="AX41" s="16134"/>
      <c r="AY41" s="16134"/>
      <c r="AZ41" s="16135"/>
      <c r="BA41" s="16136" t="s">
        <v>565</v>
      </c>
      <c r="BB41" s="16139" t="s">
        <v>567</v>
      </c>
      <c r="BC41" s="15992"/>
    </row>
    <row r="42" spans="1:60" ht="33.75" customHeight="1">
      <c r="Q42" s="208"/>
      <c r="R42" s="291"/>
      <c r="S42" s="16132"/>
      <c r="T42" s="16084"/>
      <c r="U42" s="919"/>
      <c r="V42" s="16070" t="s">
        <v>647</v>
      </c>
      <c r="W42" s="16071"/>
      <c r="X42" s="16070" t="s">
        <v>648</v>
      </c>
      <c r="Y42" s="16071"/>
      <c r="Z42" s="16070" t="s">
        <v>649</v>
      </c>
      <c r="AA42" s="16157"/>
      <c r="AB42" s="16071"/>
      <c r="AC42" s="16137"/>
      <c r="AD42" s="16164"/>
      <c r="AE42" s="16165"/>
      <c r="AF42" s="16165"/>
      <c r="AG42" s="16166"/>
      <c r="AH42" s="16164"/>
      <c r="AI42" s="16165"/>
      <c r="AJ42" s="16165"/>
      <c r="AK42" s="16166"/>
      <c r="AL42" s="16164"/>
      <c r="AM42" s="16165"/>
      <c r="AN42" s="16165"/>
      <c r="AO42" s="16166"/>
      <c r="AP42" s="16164"/>
      <c r="AQ42" s="16165"/>
      <c r="AR42" s="16165"/>
      <c r="AS42" s="16166"/>
      <c r="AT42" s="16070" t="s">
        <v>647</v>
      </c>
      <c r="AU42" s="16071"/>
      <c r="AV42" s="16070" t="s">
        <v>648</v>
      </c>
      <c r="AW42" s="16071"/>
      <c r="AX42" s="16070" t="s">
        <v>649</v>
      </c>
      <c r="AY42" s="16157"/>
      <c r="AZ42" s="16071"/>
      <c r="BA42" s="16137"/>
      <c r="BB42" s="16140"/>
      <c r="BC42" s="15992"/>
    </row>
    <row r="43" spans="1:60" ht="14.25" customHeight="1">
      <c r="Q43" s="208"/>
      <c r="R43" s="291"/>
      <c r="S43" s="16132"/>
      <c r="T43" s="16084"/>
      <c r="U43" s="919"/>
      <c r="V43" s="16075"/>
      <c r="W43" s="16076"/>
      <c r="X43" s="16075"/>
      <c r="Y43" s="16076"/>
      <c r="Z43" s="16075"/>
      <c r="AA43" s="16158"/>
      <c r="AB43" s="16076"/>
      <c r="AC43" s="16137"/>
      <c r="AD43" s="16164"/>
      <c r="AE43" s="16165"/>
      <c r="AF43" s="16165"/>
      <c r="AG43" s="16166"/>
      <c r="AH43" s="16164"/>
      <c r="AI43" s="16165"/>
      <c r="AJ43" s="16165"/>
      <c r="AK43" s="16166"/>
      <c r="AL43" s="16164"/>
      <c r="AM43" s="16165"/>
      <c r="AN43" s="16165"/>
      <c r="AO43" s="16166"/>
      <c r="AP43" s="16164"/>
      <c r="AQ43" s="16165"/>
      <c r="AR43" s="16165"/>
      <c r="AS43" s="16166"/>
      <c r="AT43" s="16075"/>
      <c r="AU43" s="16076"/>
      <c r="AV43" s="16075"/>
      <c r="AW43" s="16076"/>
      <c r="AX43" s="16075"/>
      <c r="AY43" s="16158"/>
      <c r="AZ43" s="16076"/>
      <c r="BA43" s="16137"/>
      <c r="BB43" s="16140"/>
      <c r="BC43" s="15992"/>
    </row>
    <row r="44" spans="1:60" ht="14.25" customHeight="1">
      <c r="A44" s="1247"/>
      <c r="B44" s="1247" t="s">
        <v>170</v>
      </c>
      <c r="C44" s="1247" t="s">
        <v>171</v>
      </c>
      <c r="D44" s="1247" t="s">
        <v>172</v>
      </c>
      <c r="E44" s="1241" t="s">
        <v>572</v>
      </c>
      <c r="F44" s="1241" t="s">
        <v>573</v>
      </c>
      <c r="G44" s="1241" t="s">
        <v>574</v>
      </c>
      <c r="H44" s="1241" t="s">
        <v>575</v>
      </c>
      <c r="I44" s="1241" t="s">
        <v>576</v>
      </c>
      <c r="J44" s="1241" t="s">
        <v>577</v>
      </c>
      <c r="K44" s="1241" t="s">
        <v>578</v>
      </c>
      <c r="L44" s="1241" t="s">
        <v>553</v>
      </c>
      <c r="Q44" s="208"/>
      <c r="R44" s="291"/>
      <c r="S44" s="16132"/>
      <c r="T44" s="16084"/>
      <c r="U44" s="219"/>
      <c r="V44" s="1322" t="s">
        <v>613</v>
      </c>
      <c r="W44" s="1322" t="s">
        <v>614</v>
      </c>
      <c r="X44" s="1322" t="s">
        <v>613</v>
      </c>
      <c r="Y44" s="1322" t="s">
        <v>614</v>
      </c>
      <c r="Z44" s="1329" t="s">
        <v>581</v>
      </c>
      <c r="AA44" s="16092" t="s">
        <v>582</v>
      </c>
      <c r="AB44" s="16094"/>
      <c r="AC44" s="16138"/>
      <c r="AD44" s="16167"/>
      <c r="AE44" s="16168"/>
      <c r="AF44" s="16168"/>
      <c r="AG44" s="16169"/>
      <c r="AH44" s="16167"/>
      <c r="AI44" s="16168"/>
      <c r="AJ44" s="16168"/>
      <c r="AK44" s="16169"/>
      <c r="AL44" s="16167"/>
      <c r="AM44" s="16168"/>
      <c r="AN44" s="16168"/>
      <c r="AO44" s="16169"/>
      <c r="AP44" s="16167"/>
      <c r="AQ44" s="16168"/>
      <c r="AR44" s="16168"/>
      <c r="AS44" s="16169"/>
      <c r="AT44" s="1322" t="s">
        <v>613</v>
      </c>
      <c r="AU44" s="1322" t="s">
        <v>614</v>
      </c>
      <c r="AV44" s="1322" t="s">
        <v>613</v>
      </c>
      <c r="AW44" s="1322" t="s">
        <v>614</v>
      </c>
      <c r="AX44" s="1329" t="s">
        <v>581</v>
      </c>
      <c r="AY44" s="16092" t="s">
        <v>582</v>
      </c>
      <c r="AZ44" s="16094"/>
      <c r="BA44" s="16138"/>
      <c r="BB44" s="16141"/>
      <c r="BC44" s="15992"/>
    </row>
    <row r="45" spans="1:60" s="14405" customFormat="1" ht="11.25" hidden="1" customHeight="1">
      <c r="A45" s="1247"/>
      <c r="B45" s="1247"/>
      <c r="C45" s="1247"/>
      <c r="D45" s="1247"/>
      <c r="E45" s="1247"/>
      <c r="F45" s="1247"/>
      <c r="G45" s="1247"/>
      <c r="H45" s="1247"/>
      <c r="I45" s="1247"/>
      <c r="J45" s="1247"/>
      <c r="K45" s="1247"/>
      <c r="L45" s="1241"/>
      <c r="M45" s="1239"/>
      <c r="N45" s="1239"/>
      <c r="O45" s="1239"/>
      <c r="P45" s="417"/>
      <c r="Q45" s="1136"/>
      <c r="R45" s="1136">
        <v>1</v>
      </c>
      <c r="S45" s="1159" t="s">
        <v>147</v>
      </c>
      <c r="T45" s="1137" t="s">
        <v>102</v>
      </c>
      <c r="U45" s="1127" t="str">
        <f ca="1">OFFSET(U45,0,-1)</f>
        <v>2</v>
      </c>
      <c r="V45" s="1325">
        <f t="shared" ref="V45:AA45" ca="1" si="2">OFFSET(V45,0,-1)+1</f>
        <v>3</v>
      </c>
      <c r="W45" s="1325">
        <f t="shared" ca="1" si="2"/>
        <v>4</v>
      </c>
      <c r="X45" s="1325">
        <f t="shared" ca="1" si="2"/>
        <v>5</v>
      </c>
      <c r="Y45" s="1325">
        <f t="shared" ca="1" si="2"/>
        <v>6</v>
      </c>
      <c r="Z45" s="1325">
        <f t="shared" ca="1" si="2"/>
        <v>7</v>
      </c>
      <c r="AA45" s="16131">
        <f t="shared" ca="1" si="2"/>
        <v>8</v>
      </c>
      <c r="AB45" s="16131"/>
      <c r="AC45" s="1325">
        <f ca="1">OFFSET(AC45,0,-2)+1</f>
        <v>9</v>
      </c>
      <c r="AD45" s="1325">
        <f ca="1">OFFSET(AD45,0,-1)+1</f>
        <v>10</v>
      </c>
      <c r="AE45" s="1325"/>
      <c r="AF45" s="1325"/>
      <c r="AG45" s="1325"/>
      <c r="AH45" s="1325"/>
      <c r="AI45" s="1325"/>
      <c r="AJ45" s="1325"/>
      <c r="AK45" s="1325"/>
      <c r="AL45" s="1325"/>
      <c r="AM45" s="1325"/>
      <c r="AN45" s="1325"/>
      <c r="AO45" s="1325"/>
      <c r="AP45" s="1325"/>
      <c r="AQ45" s="1325"/>
      <c r="AR45" s="1325"/>
      <c r="AS45" s="1325"/>
      <c r="AT45" s="1325"/>
      <c r="AU45" s="1325"/>
      <c r="AV45" s="1325"/>
      <c r="AW45" s="1325">
        <f ca="1">OFFSET(AW45,0,-1)+1</f>
        <v>1</v>
      </c>
      <c r="AX45" s="1325">
        <f ca="1">OFFSET(AX45,0,-1)+1</f>
        <v>2</v>
      </c>
      <c r="AY45" s="16131">
        <f ca="1">OFFSET(AY45,0,-1)+1</f>
        <v>3</v>
      </c>
      <c r="AZ45" s="16131"/>
      <c r="BA45" s="1325">
        <f ca="1">OFFSET(BA45,0,-2)+1</f>
        <v>4</v>
      </c>
      <c r="BB45" s="1127">
        <f ca="1">OFFSET(BB45,0,-1)</f>
        <v>4</v>
      </c>
      <c r="BC45" s="1325">
        <f ca="1">OFFSET(BC45,0,-1)+1</f>
        <v>5</v>
      </c>
      <c r="BD45" s="418"/>
      <c r="BE45" s="418"/>
      <c r="BF45" s="418"/>
      <c r="BG45" s="418"/>
      <c r="BH45" s="418"/>
    </row>
    <row r="46" spans="1:60" ht="21" customHeight="1">
      <c r="A46" s="1240" t="s">
        <v>275</v>
      </c>
      <c r="B46" s="1240"/>
      <c r="C46" s="1240"/>
      <c r="D46" s="1240"/>
      <c r="E46" s="16124">
        <v>1</v>
      </c>
      <c r="F46" s="1240"/>
      <c r="G46" s="1240"/>
      <c r="H46" s="1240"/>
      <c r="I46" s="1240"/>
      <c r="J46" s="1240"/>
      <c r="K46" s="1240"/>
      <c r="L46" s="1241"/>
      <c r="M46" s="1242"/>
      <c r="N46" s="1242"/>
      <c r="O46" s="1242"/>
      <c r="P46" s="1286"/>
      <c r="Q46" s="767"/>
      <c r="R46" s="271"/>
      <c r="S46" s="1331">
        <f>INDEX(PT_DIFFERENTIATION_NUM_NTAR,MATCH(A46,PT_DIFFERENTIATION_NTAR_ID,0))</f>
        <v>0</v>
      </c>
      <c r="T46" s="215" t="s">
        <v>158</v>
      </c>
      <c r="U46" s="217"/>
      <c r="V46" s="16111"/>
      <c r="W46" s="16111"/>
      <c r="X46" s="16111"/>
      <c r="Y46" s="16111"/>
      <c r="Z46" s="16111"/>
      <c r="AA46" s="16111"/>
      <c r="AB46" s="16111"/>
      <c r="AC46" s="16112"/>
      <c r="AD46" s="16110" t="str">
        <f>INDEX(PT_DIFFERENTIATION_NTAR,MATCH(A46,PT_DIFFERENTIATION_NTAR_ID,0))</f>
        <v/>
      </c>
      <c r="AE46" s="16111"/>
      <c r="AF46" s="16111"/>
      <c r="AG46" s="16111"/>
      <c r="AH46" s="16111"/>
      <c r="AI46" s="16111"/>
      <c r="AJ46" s="16111"/>
      <c r="AK46" s="16111"/>
      <c r="AL46" s="16111"/>
      <c r="AM46" s="16111"/>
      <c r="AN46" s="16111"/>
      <c r="AO46" s="16111"/>
      <c r="AP46" s="16111"/>
      <c r="AQ46" s="16111"/>
      <c r="AR46" s="16111"/>
      <c r="AS46" s="16111"/>
      <c r="AT46" s="16111"/>
      <c r="AU46" s="16111"/>
      <c r="AV46" s="16111"/>
      <c r="AW46" s="16111"/>
      <c r="AX46" s="16111"/>
      <c r="AY46" s="16111"/>
      <c r="AZ46" s="16111"/>
      <c r="BA46" s="16111"/>
      <c r="BB46" s="16112"/>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0" t="s">
        <v>275</v>
      </c>
      <c r="B47" s="1240" t="s">
        <v>276</v>
      </c>
      <c r="C47" s="1240"/>
      <c r="D47" s="1240"/>
      <c r="E47" s="16125"/>
      <c r="F47" s="16124">
        <v>1</v>
      </c>
      <c r="G47" s="1240"/>
      <c r="H47" s="1240"/>
      <c r="I47" s="1240"/>
      <c r="J47" s="1240"/>
      <c r="K47" s="1240"/>
      <c r="L47" s="1241"/>
      <c r="M47" s="1242"/>
      <c r="N47" s="1242"/>
      <c r="O47" s="1242"/>
      <c r="P47" s="1287"/>
      <c r="Q47" s="1288"/>
      <c r="R47" s="269"/>
      <c r="S47" s="1331" t="str">
        <f>INDEX(PT_DIFFERENTIATION_NUM_TER,MATCH(B47,PT_DIFFERENTIATION_TER_ID,0))</f>
        <v>.</v>
      </c>
      <c r="T47" s="225" t="s">
        <v>534</v>
      </c>
      <c r="U47" s="217"/>
      <c r="V47" s="16111"/>
      <c r="W47" s="16111"/>
      <c r="X47" s="16111"/>
      <c r="Y47" s="16111"/>
      <c r="Z47" s="16111"/>
      <c r="AA47" s="16111"/>
      <c r="AB47" s="16111"/>
      <c r="AC47" s="16112"/>
      <c r="AD47" s="16110" t="str">
        <f>INDEX(PT_DIFFERENTIATION_TER,MATCH(B47,PT_DIFFERENTIATION_TER_ID,0))</f>
        <v/>
      </c>
      <c r="AE47" s="16111"/>
      <c r="AF47" s="16111"/>
      <c r="AG47" s="16111"/>
      <c r="AH47" s="16111"/>
      <c r="AI47" s="16111"/>
      <c r="AJ47" s="16111"/>
      <c r="AK47" s="16111"/>
      <c r="AL47" s="16111"/>
      <c r="AM47" s="16111"/>
      <c r="AN47" s="16111"/>
      <c r="AO47" s="16111"/>
      <c r="AP47" s="16111"/>
      <c r="AQ47" s="16111"/>
      <c r="AR47" s="16111"/>
      <c r="AS47" s="16111"/>
      <c r="AT47" s="16111"/>
      <c r="AU47" s="16111"/>
      <c r="AV47" s="16111"/>
      <c r="AW47" s="16111"/>
      <c r="AX47" s="16111"/>
      <c r="AY47" s="16111"/>
      <c r="AZ47" s="16111"/>
      <c r="BA47" s="16111"/>
      <c r="BB47" s="16112"/>
      <c r="BC47" s="1140" t="s">
        <v>535</v>
      </c>
      <c r="BE47" s="407"/>
      <c r="BF47" s="407" t="str">
        <f t="shared" si="3"/>
        <v>Территория действия тарифа</v>
      </c>
      <c r="BG47" s="407"/>
      <c r="BH47" s="407"/>
    </row>
    <row r="48" spans="1:60" ht="42" customHeight="1">
      <c r="A48" s="1240" t="s">
        <v>275</v>
      </c>
      <c r="B48" s="1240" t="s">
        <v>276</v>
      </c>
      <c r="C48" s="1240" t="s">
        <v>277</v>
      </c>
      <c r="D48" s="1240"/>
      <c r="E48" s="16125"/>
      <c r="F48" s="16125"/>
      <c r="G48" s="16124">
        <v>1</v>
      </c>
      <c r="H48" s="1240"/>
      <c r="I48" s="1240"/>
      <c r="J48" s="1240"/>
      <c r="K48" s="1240"/>
      <c r="L48" s="1241"/>
      <c r="M48" s="1242"/>
      <c r="N48" s="1242"/>
      <c r="O48" s="1242"/>
      <c r="P48" s="1289"/>
      <c r="Q48" s="1288"/>
      <c r="R48" s="269"/>
      <c r="S48" s="1331" t="str">
        <f>INDEX(PT_DIFFERENTIATION_NUM_CS,MATCH(C48,PT_DIFFERENTIATION_CS_ID,0))</f>
        <v>..</v>
      </c>
      <c r="T48" s="226" t="s">
        <v>616</v>
      </c>
      <c r="U48" s="217"/>
      <c r="V48" s="16111"/>
      <c r="W48" s="16111"/>
      <c r="X48" s="16111"/>
      <c r="Y48" s="16111"/>
      <c r="Z48" s="16111"/>
      <c r="AA48" s="16111"/>
      <c r="AB48" s="16111"/>
      <c r="AC48" s="16112"/>
      <c r="AD48" s="16110" t="str">
        <f>INDEX(PT_DIFFERENTIATION_CS,MATCH(C48,PT_DIFFERENTIATION_CS_ID,0))</f>
        <v/>
      </c>
      <c r="AE48" s="16111"/>
      <c r="AF48" s="16111"/>
      <c r="AG48" s="16111"/>
      <c r="AH48" s="16111"/>
      <c r="AI48" s="16111"/>
      <c r="AJ48" s="16111"/>
      <c r="AK48" s="16111"/>
      <c r="AL48" s="16111"/>
      <c r="AM48" s="16111"/>
      <c r="AN48" s="16111"/>
      <c r="AO48" s="16111"/>
      <c r="AP48" s="16111"/>
      <c r="AQ48" s="16111"/>
      <c r="AR48" s="16111"/>
      <c r="AS48" s="16111"/>
      <c r="AT48" s="16111"/>
      <c r="AU48" s="16111"/>
      <c r="AV48" s="16111"/>
      <c r="AW48" s="16111"/>
      <c r="AX48" s="16111"/>
      <c r="AY48" s="16111"/>
      <c r="AZ48" s="16111"/>
      <c r="BA48" s="16111"/>
      <c r="BB48" s="16112"/>
      <c r="BC48" s="1140" t="s">
        <v>617</v>
      </c>
      <c r="BE48" s="407"/>
      <c r="BF48" s="407" t="str">
        <f t="shared" si="3"/>
        <v>Наименование централизованной системы холодного водоснабжения</v>
      </c>
      <c r="BG48" s="407"/>
      <c r="BH48" s="407"/>
    </row>
    <row r="49" spans="1:60" s="14421" customFormat="1" ht="0" hidden="1" customHeight="1">
      <c r="A49" s="1221" t="s">
        <v>275</v>
      </c>
      <c r="B49" s="1221" t="s">
        <v>276</v>
      </c>
      <c r="C49" s="1221" t="s">
        <v>277</v>
      </c>
      <c r="D49" s="1221" t="s">
        <v>650</v>
      </c>
      <c r="E49" s="16125"/>
      <c r="F49" s="16125"/>
      <c r="G49" s="16125"/>
      <c r="H49" s="16124">
        <v>1</v>
      </c>
      <c r="I49" s="1221"/>
      <c r="J49" s="1221"/>
      <c r="K49" s="1221"/>
      <c r="L49" s="1224"/>
      <c r="M49" s="1194"/>
      <c r="N49" s="1194"/>
      <c r="O49" s="1194"/>
      <c r="P49" s="1368"/>
      <c r="Q49" s="1369"/>
      <c r="R49" s="273"/>
      <c r="S49" s="930"/>
      <c r="T49" s="1370"/>
      <c r="U49" s="1261"/>
      <c r="V49" s="16154"/>
      <c r="W49" s="16154"/>
      <c r="X49" s="16154"/>
      <c r="Y49" s="16154"/>
      <c r="Z49" s="16154"/>
      <c r="AA49" s="16154"/>
      <c r="AB49" s="16154"/>
      <c r="AC49" s="16155"/>
      <c r="AD49" s="16153"/>
      <c r="AE49" s="16154"/>
      <c r="AF49" s="16154"/>
      <c r="AG49" s="16154"/>
      <c r="AH49" s="16154"/>
      <c r="AI49" s="16154"/>
      <c r="AJ49" s="16154"/>
      <c r="AK49" s="16154"/>
      <c r="AL49" s="16154"/>
      <c r="AM49" s="16154"/>
      <c r="AN49" s="16154"/>
      <c r="AO49" s="16154"/>
      <c r="AP49" s="16154"/>
      <c r="AQ49" s="16154"/>
      <c r="AR49" s="16154"/>
      <c r="AS49" s="16154"/>
      <c r="AT49" s="16154"/>
      <c r="AU49" s="16154"/>
      <c r="AV49" s="16154"/>
      <c r="AW49" s="16154"/>
      <c r="AX49" s="16154"/>
      <c r="AY49" s="16154"/>
      <c r="AZ49" s="16154"/>
      <c r="BA49" s="16154"/>
      <c r="BB49" s="16155"/>
      <c r="BC49" s="1262" t="s">
        <v>539</v>
      </c>
      <c r="BE49" s="407"/>
      <c r="BF49" s="407" t="str">
        <f t="shared" si="3"/>
        <v/>
      </c>
      <c r="BG49" s="407"/>
      <c r="BH49" s="407"/>
    </row>
    <row r="50" spans="1:60" s="14421" customFormat="1" ht="0" hidden="1" customHeight="1">
      <c r="A50" s="1221" t="s">
        <v>275</v>
      </c>
      <c r="B50" s="1221" t="s">
        <v>276</v>
      </c>
      <c r="C50" s="1221" t="s">
        <v>277</v>
      </c>
      <c r="D50" s="1221" t="s">
        <v>650</v>
      </c>
      <c r="E50" s="16125"/>
      <c r="F50" s="16125"/>
      <c r="G50" s="16125"/>
      <c r="H50" s="16125"/>
      <c r="I50" s="16122" t="str">
        <f>S49&amp;".1"</f>
        <v>.1</v>
      </c>
      <c r="J50" s="1221"/>
      <c r="K50" s="1221"/>
      <c r="L50" s="1224" t="s">
        <v>540</v>
      </c>
      <c r="M50" s="417"/>
      <c r="N50" s="417"/>
      <c r="O50" s="417"/>
      <c r="P50" s="16123">
        <v>1</v>
      </c>
      <c r="Q50" s="1335"/>
      <c r="R50" s="272"/>
      <c r="S50" s="930"/>
      <c r="T50" s="1260"/>
      <c r="U50" s="1261"/>
      <c r="V50" s="16154"/>
      <c r="W50" s="16154"/>
      <c r="X50" s="16154"/>
      <c r="Y50" s="16154"/>
      <c r="Z50" s="16154"/>
      <c r="AA50" s="16154"/>
      <c r="AB50" s="16154"/>
      <c r="AC50" s="16155"/>
      <c r="AD50" s="16153"/>
      <c r="AE50" s="16154"/>
      <c r="AF50" s="16154"/>
      <c r="AG50" s="16154"/>
      <c r="AH50" s="16154"/>
      <c r="AI50" s="16154"/>
      <c r="AJ50" s="16154"/>
      <c r="AK50" s="16154"/>
      <c r="AL50" s="16154"/>
      <c r="AM50" s="16154"/>
      <c r="AN50" s="16154"/>
      <c r="AO50" s="16154"/>
      <c r="AP50" s="16154"/>
      <c r="AQ50" s="16154"/>
      <c r="AR50" s="16154"/>
      <c r="AS50" s="16154"/>
      <c r="AT50" s="16154"/>
      <c r="AU50" s="16154"/>
      <c r="AV50" s="16154"/>
      <c r="AW50" s="16154"/>
      <c r="AX50" s="16154"/>
      <c r="AY50" s="16154"/>
      <c r="AZ50" s="16154"/>
      <c r="BA50" s="16154"/>
      <c r="BB50" s="16155"/>
      <c r="BC50" s="1262"/>
      <c r="BE50" s="407"/>
      <c r="BF50" s="407" t="str">
        <f t="shared" si="3"/>
        <v/>
      </c>
      <c r="BG50" s="407"/>
      <c r="BH50" s="407"/>
    </row>
    <row r="51" spans="1:60" s="14421" customFormat="1" ht="0" hidden="1" customHeight="1">
      <c r="A51" s="1221" t="s">
        <v>275</v>
      </c>
      <c r="B51" s="1221" t="s">
        <v>276</v>
      </c>
      <c r="C51" s="1221" t="s">
        <v>277</v>
      </c>
      <c r="D51" s="1221" t="s">
        <v>650</v>
      </c>
      <c r="E51" s="16125"/>
      <c r="F51" s="16125"/>
      <c r="G51" s="16125"/>
      <c r="H51" s="16125"/>
      <c r="I51" s="16145"/>
      <c r="J51" s="16122" t="str">
        <f>S49&amp;".1"</f>
        <v>.1</v>
      </c>
      <c r="K51" s="1221"/>
      <c r="L51" s="1224"/>
      <c r="M51" s="417"/>
      <c r="N51" s="417"/>
      <c r="O51" s="417"/>
      <c r="P51" s="16123"/>
      <c r="Q51" s="16123">
        <v>1</v>
      </c>
      <c r="R51" s="273"/>
      <c r="S51" s="930"/>
      <c r="T51" s="1276"/>
      <c r="U51" s="1261"/>
      <c r="V51" s="16154"/>
      <c r="W51" s="16154"/>
      <c r="X51" s="16154"/>
      <c r="Y51" s="16154"/>
      <c r="Z51" s="16154"/>
      <c r="AA51" s="16154"/>
      <c r="AB51" s="16154"/>
      <c r="AC51" s="16155"/>
      <c r="AD51" s="16153"/>
      <c r="AE51" s="16154"/>
      <c r="AF51" s="16154"/>
      <c r="AG51" s="16154"/>
      <c r="AH51" s="16154"/>
      <c r="AI51" s="16154"/>
      <c r="AJ51" s="16154"/>
      <c r="AK51" s="16154"/>
      <c r="AL51" s="16154"/>
      <c r="AM51" s="16154"/>
      <c r="AN51" s="16198"/>
      <c r="AO51" s="16198"/>
      <c r="AP51" s="16154"/>
      <c r="AQ51" s="16154"/>
      <c r="AR51" s="16154"/>
      <c r="AS51" s="16154"/>
      <c r="AT51" s="16154"/>
      <c r="AU51" s="16154"/>
      <c r="AV51" s="16154"/>
      <c r="AW51" s="16154"/>
      <c r="AX51" s="16154"/>
      <c r="AY51" s="16154"/>
      <c r="AZ51" s="16154"/>
      <c r="BA51" s="16154"/>
      <c r="BB51" s="16155"/>
      <c r="BC51" s="1262"/>
      <c r="BE51" s="407"/>
      <c r="BF51" s="407" t="str">
        <f t="shared" si="3"/>
        <v/>
      </c>
      <c r="BG51" s="407"/>
      <c r="BH51" s="407"/>
    </row>
    <row r="52" spans="1:60" ht="11.25" customHeight="1">
      <c r="A52" s="1240" t="s">
        <v>275</v>
      </c>
      <c r="B52" s="1240" t="s">
        <v>276</v>
      </c>
      <c r="C52" s="1240" t="s">
        <v>277</v>
      </c>
      <c r="D52" s="1240" t="s">
        <v>650</v>
      </c>
      <c r="E52" s="16125"/>
      <c r="F52" s="16125"/>
      <c r="G52" s="16125"/>
      <c r="H52" s="16125"/>
      <c r="I52" s="16145"/>
      <c r="J52" s="16145"/>
      <c r="K52" s="16122" t="str">
        <f>S48&amp;".1"</f>
        <v>...1</v>
      </c>
      <c r="L52" s="1241"/>
      <c r="P52" s="16123"/>
      <c r="Q52" s="16123"/>
      <c r="R52" s="273">
        <v>1</v>
      </c>
      <c r="S52" s="16174" t="str">
        <f>$K52</f>
        <v>...1</v>
      </c>
      <c r="T52" s="16193"/>
      <c r="U52" s="217"/>
      <c r="V52" s="649"/>
      <c r="W52" s="1139"/>
      <c r="X52" s="649"/>
      <c r="Y52" s="1139"/>
      <c r="Z52" s="1596"/>
      <c r="AA52" s="1333" t="s">
        <v>66</v>
      </c>
      <c r="AB52" s="1596"/>
      <c r="AC52" s="1333" t="s">
        <v>66</v>
      </c>
      <c r="AD52" s="16044" t="s">
        <v>66</v>
      </c>
      <c r="AE52" s="16160"/>
      <c r="AF52" s="16080">
        <v>1</v>
      </c>
      <c r="AG52" s="16197"/>
      <c r="AH52" s="15973" t="s">
        <v>66</v>
      </c>
      <c r="AI52" s="16160"/>
      <c r="AJ52" s="16080">
        <v>1</v>
      </c>
      <c r="AK52" s="16196" t="s">
        <v>24</v>
      </c>
      <c r="AL52" s="15973" t="s">
        <v>66</v>
      </c>
      <c r="AM52" s="16070"/>
      <c r="AN52" s="16080">
        <v>1</v>
      </c>
      <c r="AO52" s="16190"/>
      <c r="AP52" s="16191" t="s">
        <v>66</v>
      </c>
      <c r="AQ52" s="228"/>
      <c r="AR52" s="1336">
        <v>1</v>
      </c>
      <c r="AS52" s="1339" t="s">
        <v>24</v>
      </c>
      <c r="AT52" s="649"/>
      <c r="AU52" s="1139"/>
      <c r="AV52" s="649"/>
      <c r="AW52" s="1139"/>
      <c r="AX52" s="1596"/>
      <c r="AY52" s="1333" t="s">
        <v>66</v>
      </c>
      <c r="AZ52" s="1596"/>
      <c r="BA52" s="1333" t="s">
        <v>66</v>
      </c>
      <c r="BB52" s="1226"/>
      <c r="BC52" s="16119" t="s">
        <v>636</v>
      </c>
      <c r="BE52" s="407"/>
      <c r="BF52" s="407" t="str">
        <f t="shared" si="3"/>
        <v/>
      </c>
      <c r="BG52" s="407"/>
      <c r="BH52" s="407"/>
    </row>
    <row r="53" spans="1:60" ht="11.25" customHeight="1">
      <c r="A53" s="1240"/>
      <c r="B53" s="1240"/>
      <c r="C53" s="1240"/>
      <c r="D53" s="1240"/>
      <c r="E53" s="16125"/>
      <c r="F53" s="16125"/>
      <c r="G53" s="16125"/>
      <c r="H53" s="16125"/>
      <c r="I53" s="16145"/>
      <c r="J53" s="16145"/>
      <c r="K53" s="16122"/>
      <c r="L53" s="1241"/>
      <c r="P53" s="16123"/>
      <c r="Q53" s="16123"/>
      <c r="R53" s="273"/>
      <c r="S53" s="16175"/>
      <c r="T53" s="16194"/>
      <c r="U53" s="217"/>
      <c r="V53" s="1270"/>
      <c r="W53" s="1367"/>
      <c r="X53" s="1270"/>
      <c r="Y53" s="1367"/>
      <c r="Z53" s="1270"/>
      <c r="AA53" s="1270"/>
      <c r="AB53" s="1270"/>
      <c r="AC53" s="1270"/>
      <c r="AD53" s="16045"/>
      <c r="AE53" s="16160"/>
      <c r="AF53" s="16080"/>
      <c r="AG53" s="16197"/>
      <c r="AH53" s="15973"/>
      <c r="AI53" s="16160"/>
      <c r="AJ53" s="16080"/>
      <c r="AK53" s="16196"/>
      <c r="AL53" s="15973"/>
      <c r="AM53" s="16075"/>
      <c r="AN53" s="16080"/>
      <c r="AO53" s="16190"/>
      <c r="AP53" s="16192"/>
      <c r="AQ53" s="233"/>
      <c r="AR53" s="331"/>
      <c r="AS53" s="331" t="s">
        <v>637</v>
      </c>
      <c r="AT53" s="1270"/>
      <c r="AU53" s="1367"/>
      <c r="AV53" s="1270"/>
      <c r="AW53" s="1367"/>
      <c r="AX53" s="1270"/>
      <c r="AY53" s="1270"/>
      <c r="AZ53" s="1270"/>
      <c r="BA53" s="1270"/>
      <c r="BB53" s="1274"/>
      <c r="BC53" s="16120"/>
      <c r="BE53" s="407"/>
      <c r="BF53" s="407"/>
      <c r="BG53" s="407"/>
      <c r="BH53" s="407"/>
    </row>
    <row r="54" spans="1:60" ht="11.25" customHeight="1">
      <c r="A54" s="1240" t="s">
        <v>275</v>
      </c>
      <c r="B54" s="1240"/>
      <c r="C54" s="1240"/>
      <c r="D54" s="1240"/>
      <c r="E54" s="16125"/>
      <c r="F54" s="16125"/>
      <c r="G54" s="16125"/>
      <c r="H54" s="16125"/>
      <c r="I54" s="16145"/>
      <c r="J54" s="16145"/>
      <c r="K54" s="16122"/>
      <c r="L54" s="1241"/>
      <c r="P54" s="16123"/>
      <c r="Q54" s="16123"/>
      <c r="R54" s="273"/>
      <c r="S54" s="16175"/>
      <c r="T54" s="16194"/>
      <c r="U54" s="217"/>
      <c r="V54" s="1270"/>
      <c r="W54" s="1367"/>
      <c r="X54" s="1270"/>
      <c r="Y54" s="1367"/>
      <c r="Z54" s="1270"/>
      <c r="AA54" s="1270"/>
      <c r="AB54" s="1270"/>
      <c r="AC54" s="1270"/>
      <c r="AD54" s="16045"/>
      <c r="AE54" s="16160"/>
      <c r="AF54" s="16080"/>
      <c r="AG54" s="16197"/>
      <c r="AH54" s="15973"/>
      <c r="AI54" s="16160"/>
      <c r="AJ54" s="16080"/>
      <c r="AK54" s="16196"/>
      <c r="AL54" s="15973"/>
      <c r="AM54" s="233"/>
      <c r="AN54" s="1371"/>
      <c r="AO54" s="1371" t="s">
        <v>638</v>
      </c>
      <c r="AP54" s="331"/>
      <c r="AQ54" s="331"/>
      <c r="AR54" s="331"/>
      <c r="AS54" s="1270"/>
      <c r="AT54" s="1270"/>
      <c r="AU54" s="1367"/>
      <c r="AV54" s="1270"/>
      <c r="AW54" s="1367"/>
      <c r="AX54" s="1270"/>
      <c r="AY54" s="1270"/>
      <c r="AZ54" s="1270"/>
      <c r="BA54" s="1270"/>
      <c r="BB54" s="1274"/>
      <c r="BC54" s="16120"/>
      <c r="BE54" s="407"/>
      <c r="BF54" s="407"/>
      <c r="BG54" s="407"/>
      <c r="BH54" s="407"/>
    </row>
    <row r="55" spans="1:60" ht="11.25" customHeight="1">
      <c r="A55" s="1240" t="s">
        <v>275</v>
      </c>
      <c r="B55" s="1240"/>
      <c r="C55" s="1240"/>
      <c r="D55" s="1240"/>
      <c r="E55" s="16125"/>
      <c r="F55" s="16125"/>
      <c r="G55" s="16125"/>
      <c r="H55" s="16125"/>
      <c r="I55" s="16145"/>
      <c r="J55" s="16145"/>
      <c r="K55" s="16122"/>
      <c r="L55" s="1241"/>
      <c r="P55" s="16123"/>
      <c r="Q55" s="16123"/>
      <c r="R55" s="273"/>
      <c r="S55" s="16175"/>
      <c r="T55" s="16194"/>
      <c r="U55" s="217"/>
      <c r="V55" s="1270"/>
      <c r="W55" s="1367"/>
      <c r="X55" s="1270"/>
      <c r="Y55" s="1367"/>
      <c r="Z55" s="1270"/>
      <c r="AA55" s="1270"/>
      <c r="AB55" s="1270"/>
      <c r="AC55" s="1270"/>
      <c r="AD55" s="16045"/>
      <c r="AE55" s="16160"/>
      <c r="AF55" s="16080"/>
      <c r="AG55" s="16197"/>
      <c r="AH55" s="15973"/>
      <c r="AI55" s="211"/>
      <c r="AJ55" s="330"/>
      <c r="AK55" s="230" t="s">
        <v>639</v>
      </c>
      <c r="AL55" s="1270"/>
      <c r="AM55" s="1270"/>
      <c r="AN55" s="1270"/>
      <c r="AO55" s="1270"/>
      <c r="AP55" s="1270"/>
      <c r="AQ55" s="1270"/>
      <c r="AR55" s="1270"/>
      <c r="AS55" s="1270"/>
      <c r="AT55" s="1270"/>
      <c r="AU55" s="1367"/>
      <c r="AV55" s="1270"/>
      <c r="AW55" s="1367"/>
      <c r="AX55" s="1270"/>
      <c r="AY55" s="1270"/>
      <c r="AZ55" s="1270"/>
      <c r="BA55" s="1270"/>
      <c r="BB55" s="1274"/>
      <c r="BC55" s="16120"/>
      <c r="BE55" s="407"/>
      <c r="BF55" s="407"/>
      <c r="BG55" s="407"/>
      <c r="BH55" s="407"/>
    </row>
    <row r="56" spans="1:60" ht="11.25" customHeight="1">
      <c r="A56" s="1240" t="s">
        <v>275</v>
      </c>
      <c r="B56" s="1240" t="s">
        <v>276</v>
      </c>
      <c r="C56" s="1240" t="s">
        <v>277</v>
      </c>
      <c r="D56" s="1240" t="s">
        <v>650</v>
      </c>
      <c r="E56" s="16125"/>
      <c r="F56" s="16125"/>
      <c r="G56" s="16125"/>
      <c r="H56" s="16125"/>
      <c r="I56" s="16145"/>
      <c r="J56" s="16145"/>
      <c r="K56" s="16122"/>
      <c r="L56" s="1241"/>
      <c r="P56" s="16123"/>
      <c r="Q56" s="16123"/>
      <c r="R56" s="273"/>
      <c r="S56" s="16176"/>
      <c r="T56" s="16195"/>
      <c r="U56" s="217"/>
      <c r="V56" s="1270"/>
      <c r="W56" s="1271" t="str">
        <f>Z52&amp;"-"&amp;AB52</f>
        <v>-</v>
      </c>
      <c r="X56" s="1270"/>
      <c r="Y56" s="1271" t="str">
        <f>AB52&amp;"-"&amp;AD52</f>
        <v>-да</v>
      </c>
      <c r="Z56" s="1270"/>
      <c r="AA56" s="1270"/>
      <c r="AB56" s="1270"/>
      <c r="AC56" s="1270"/>
      <c r="AD56" s="15978"/>
      <c r="AE56" s="229"/>
      <c r="AF56" s="231"/>
      <c r="AG56" s="331" t="s">
        <v>640</v>
      </c>
      <c r="AH56" s="1270"/>
      <c r="AI56" s="1270"/>
      <c r="AJ56" s="1270"/>
      <c r="AK56" s="1270"/>
      <c r="AL56" s="1270"/>
      <c r="AM56" s="1270"/>
      <c r="AN56" s="1270"/>
      <c r="AO56" s="1270"/>
      <c r="AP56" s="1270"/>
      <c r="AQ56" s="1270"/>
      <c r="AR56" s="1270"/>
      <c r="AS56" s="1270"/>
      <c r="AT56" s="1270"/>
      <c r="AU56" s="1271" t="str">
        <f>AX52&amp;"-"&amp;AZ52</f>
        <v>-</v>
      </c>
      <c r="AV56" s="1270"/>
      <c r="AW56" s="1271" t="str">
        <f>AZ52&amp;"-"&amp;BB52</f>
        <v>-</v>
      </c>
      <c r="AX56" s="1270"/>
      <c r="AY56" s="1270"/>
      <c r="AZ56" s="1270"/>
      <c r="BA56" s="1270"/>
      <c r="BB56" s="1273" t="str">
        <f>BE52&amp;"-"&amp;BG52</f>
        <v>-</v>
      </c>
      <c r="BC56" s="16120"/>
      <c r="BE56" s="407"/>
      <c r="BF56" s="407" t="str">
        <f t="shared" ref="BF56:BF63" si="4">IF(T56="","",T56)</f>
        <v/>
      </c>
      <c r="BG56" s="407"/>
      <c r="BH56" s="407"/>
    </row>
    <row r="57" spans="1:60" ht="11.25" customHeight="1">
      <c r="A57" s="1240" t="s">
        <v>275</v>
      </c>
      <c r="B57" s="1240" t="s">
        <v>276</v>
      </c>
      <c r="C57" s="1240" t="s">
        <v>277</v>
      </c>
      <c r="D57" s="1240" t="s">
        <v>650</v>
      </c>
      <c r="E57" s="16125"/>
      <c r="F57" s="16125"/>
      <c r="G57" s="16125"/>
      <c r="H57" s="16125"/>
      <c r="I57" s="16145"/>
      <c r="J57" s="16122"/>
      <c r="K57" s="1240"/>
      <c r="L57" s="1241"/>
      <c r="P57" s="16123"/>
      <c r="Q57" s="16123"/>
      <c r="R57" s="272"/>
      <c r="S57" s="1160"/>
      <c r="T57" s="204" t="s">
        <v>602</v>
      </c>
      <c r="U57" s="282"/>
      <c r="V57" s="282"/>
      <c r="W57" s="282"/>
      <c r="X57" s="282"/>
      <c r="Y57" s="282"/>
      <c r="Z57" s="282"/>
      <c r="AA57" s="282"/>
      <c r="AB57" s="282"/>
      <c r="AC57" s="241"/>
      <c r="AD57" s="1376"/>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16121"/>
      <c r="BE57" s="407"/>
      <c r="BF57" s="407" t="str">
        <f t="shared" si="4"/>
        <v>Добавить строку</v>
      </c>
      <c r="BG57" s="407"/>
      <c r="BH57" s="407"/>
    </row>
    <row r="58" spans="1:60" s="14421" customFormat="1" ht="0" hidden="1" customHeight="1">
      <c r="A58" s="1221" t="s">
        <v>275</v>
      </c>
      <c r="B58" s="1221" t="s">
        <v>276</v>
      </c>
      <c r="C58" s="1221" t="s">
        <v>277</v>
      </c>
      <c r="D58" s="1221" t="s">
        <v>650</v>
      </c>
      <c r="E58" s="16125"/>
      <c r="F58" s="16125"/>
      <c r="G58" s="16125"/>
      <c r="H58" s="16125"/>
      <c r="I58" s="16122"/>
      <c r="J58" s="1221"/>
      <c r="K58" s="1221"/>
      <c r="L58" s="1224"/>
      <c r="M58" s="417"/>
      <c r="N58" s="417"/>
      <c r="O58" s="417"/>
      <c r="P58" s="16123"/>
      <c r="Q58" s="1335"/>
      <c r="R58" s="272"/>
      <c r="S58" s="1263"/>
      <c r="T58" s="1264"/>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6"/>
      <c r="BE58" s="407"/>
      <c r="BF58" s="407" t="str">
        <f t="shared" si="4"/>
        <v/>
      </c>
      <c r="BG58" s="407"/>
      <c r="BH58" s="407"/>
    </row>
    <row r="59" spans="1:60" s="14421" customFormat="1" ht="0" hidden="1" customHeight="1">
      <c r="A59" s="1221" t="s">
        <v>275</v>
      </c>
      <c r="B59" s="1221" t="s">
        <v>276</v>
      </c>
      <c r="C59" s="1221" t="s">
        <v>277</v>
      </c>
      <c r="D59" s="1221" t="s">
        <v>650</v>
      </c>
      <c r="E59" s="16125"/>
      <c r="F59" s="16125"/>
      <c r="G59" s="16125"/>
      <c r="H59" s="16124"/>
      <c r="I59" s="1221"/>
      <c r="J59" s="1221"/>
      <c r="K59" s="1221"/>
      <c r="L59" s="1224"/>
      <c r="M59" s="1194"/>
      <c r="N59" s="1194"/>
      <c r="O59" s="425"/>
      <c r="P59" s="295"/>
      <c r="Q59" s="1222"/>
      <c r="R59" s="1278"/>
      <c r="S59" s="1263"/>
      <c r="T59" s="1264"/>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6"/>
      <c r="BE59" s="407"/>
      <c r="BF59" s="407" t="str">
        <f t="shared" si="4"/>
        <v/>
      </c>
      <c r="BG59" s="407"/>
      <c r="BH59" s="407"/>
    </row>
    <row r="60" spans="1:60" s="14418" customFormat="1" ht="0" hidden="1" customHeight="1">
      <c r="A60" s="1221" t="s">
        <v>275</v>
      </c>
      <c r="B60" s="1221" t="s">
        <v>276</v>
      </c>
      <c r="C60" s="1221" t="s">
        <v>277</v>
      </c>
      <c r="D60" s="1193"/>
      <c r="E60" s="16125"/>
      <c r="F60" s="16125"/>
      <c r="G60" s="16124"/>
      <c r="H60" s="1193"/>
      <c r="I60" s="1193"/>
      <c r="J60" s="1193"/>
      <c r="K60" s="1193"/>
      <c r="L60" s="1337"/>
      <c r="M60" s="1194"/>
      <c r="N60" s="1194"/>
      <c r="P60" s="1195"/>
      <c r="Q60" s="1196"/>
      <c r="R60" s="1195"/>
      <c r="S60" s="1201"/>
      <c r="T60" s="1204"/>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V60" s="1203"/>
      <c r="AW60" s="1203"/>
      <c r="AX60" s="1203"/>
      <c r="AY60" s="1203"/>
      <c r="AZ60" s="1203"/>
      <c r="BA60" s="1203"/>
      <c r="BB60" s="1203"/>
      <c r="BC60" s="1203"/>
      <c r="BE60" s="687"/>
      <c r="BF60" s="687" t="str">
        <f t="shared" si="4"/>
        <v/>
      </c>
      <c r="BG60" s="687"/>
      <c r="BH60" s="687"/>
    </row>
    <row r="61" spans="1:60" s="14418" customFormat="1" ht="0" hidden="1" customHeight="1">
      <c r="A61" s="1221" t="s">
        <v>275</v>
      </c>
      <c r="B61" s="1221" t="s">
        <v>276</v>
      </c>
      <c r="C61" s="1193"/>
      <c r="D61" s="1193"/>
      <c r="E61" s="16125"/>
      <c r="F61" s="16124"/>
      <c r="G61" s="1193"/>
      <c r="H61" s="1193"/>
      <c r="I61" s="1193"/>
      <c r="J61" s="1193"/>
      <c r="K61" s="1193"/>
      <c r="L61" s="1337"/>
      <c r="M61" s="1200"/>
      <c r="N61" s="1200"/>
      <c r="P61" s="1195"/>
      <c r="Q61" s="1196"/>
      <c r="R61" s="1195"/>
      <c r="S61" s="1201"/>
      <c r="T61" s="1204" t="s">
        <v>290</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V61" s="1203"/>
      <c r="AW61" s="1203"/>
      <c r="AX61" s="1203"/>
      <c r="AY61" s="1203"/>
      <c r="AZ61" s="1203"/>
      <c r="BA61" s="1203"/>
      <c r="BB61" s="1203"/>
      <c r="BC61" s="1203"/>
      <c r="BE61" s="687"/>
      <c r="BF61" s="687" t="str">
        <f t="shared" si="4"/>
        <v>Добавить централизованную систему для дифференциации</v>
      </c>
      <c r="BG61" s="687"/>
      <c r="BH61" s="687"/>
    </row>
    <row r="62" spans="1:60" s="14421" customFormat="1" ht="0" hidden="1" customHeight="1">
      <c r="A62" s="1221" t="s">
        <v>275</v>
      </c>
      <c r="B62" s="1221"/>
      <c r="C62" s="1221"/>
      <c r="D62" s="1221"/>
      <c r="E62" s="16124"/>
      <c r="F62" s="1221"/>
      <c r="G62" s="1221"/>
      <c r="H62" s="1221"/>
      <c r="I62" s="1221"/>
      <c r="J62" s="1221"/>
      <c r="K62" s="1221"/>
      <c r="L62" s="1224"/>
      <c r="M62" s="1200"/>
      <c r="N62" s="1200"/>
      <c r="O62" s="425"/>
      <c r="P62" s="295"/>
      <c r="Q62" s="1222"/>
      <c r="R62" s="295"/>
      <c r="S62" s="1201"/>
      <c r="T62" s="1204" t="s">
        <v>326</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V62" s="1203"/>
      <c r="AW62" s="1203"/>
      <c r="AX62" s="1203"/>
      <c r="AY62" s="1203"/>
      <c r="AZ62" s="1203"/>
      <c r="BA62" s="1203"/>
      <c r="BB62" s="1203"/>
      <c r="BC62" s="1203"/>
      <c r="BE62" s="407"/>
      <c r="BF62" s="407" t="str">
        <f t="shared" si="4"/>
        <v>Добавить территорию для дифференциации</v>
      </c>
      <c r="BG62" s="407"/>
      <c r="BH62" s="407"/>
    </row>
    <row r="63" spans="1:60" s="14418" customFormat="1" ht="0" hidden="1" customHeight="1">
      <c r="A63" s="1193"/>
      <c r="B63" s="1193"/>
      <c r="C63" s="1193"/>
      <c r="D63" s="1193"/>
      <c r="E63" s="1221"/>
      <c r="F63" s="1193"/>
      <c r="G63" s="1193"/>
      <c r="H63" s="1193"/>
      <c r="I63" s="1193"/>
      <c r="J63" s="1193"/>
      <c r="K63" s="1193"/>
      <c r="L63" s="1337"/>
      <c r="M63" s="1200"/>
      <c r="N63" s="1200"/>
      <c r="P63" s="1195"/>
      <c r="Q63" s="1196"/>
      <c r="R63" s="1195"/>
      <c r="S63" s="1201"/>
      <c r="T63" s="1204" t="s">
        <v>390</v>
      </c>
      <c r="U63" s="1203"/>
      <c r="V63" s="1203"/>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R63" s="1203"/>
      <c r="AS63" s="1203"/>
      <c r="AT63" s="1203"/>
      <c r="AU63" s="1203"/>
      <c r="AV63" s="1203"/>
      <c r="AW63" s="1203"/>
      <c r="AX63" s="1203"/>
      <c r="AY63" s="1203"/>
      <c r="AZ63" s="1203"/>
      <c r="BA63" s="1203"/>
      <c r="BB63" s="1203"/>
      <c r="BC63" s="1203"/>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5"/>
      <c r="T65" s="16144"/>
      <c r="U65" s="16144"/>
      <c r="V65" s="16144"/>
      <c r="W65" s="16144"/>
      <c r="X65" s="16144"/>
      <c r="Y65" s="16144"/>
      <c r="Z65" s="16144"/>
      <c r="AA65" s="16144"/>
      <c r="AB65" s="16144"/>
      <c r="AC65" s="16144"/>
      <c r="AD65" s="16144"/>
      <c r="AE65" s="16144"/>
      <c r="AF65" s="16144"/>
      <c r="AG65" s="16144"/>
      <c r="AH65" s="16144"/>
      <c r="AI65" s="16144"/>
      <c r="AJ65" s="16144"/>
      <c r="AK65" s="16144"/>
      <c r="AL65" s="16144"/>
      <c r="AM65" s="16144"/>
      <c r="AN65" s="16144"/>
      <c r="AO65" s="16144"/>
      <c r="AP65" s="16144"/>
      <c r="AQ65" s="16144"/>
      <c r="AR65" s="16144"/>
      <c r="AS65" s="16144"/>
      <c r="AT65" s="16144"/>
      <c r="AU65" s="16144"/>
      <c r="AV65" s="16144"/>
      <c r="AW65" s="16144"/>
      <c r="AX65" s="16144"/>
      <c r="AY65" s="16144"/>
      <c r="AZ65" s="16144"/>
      <c r="BA65" s="16144"/>
      <c r="BB65" s="16144"/>
      <c r="BC65" s="16144"/>
    </row>
    <row r="66" spans="15:55" ht="14.25" customHeight="1">
      <c r="O66" s="443"/>
      <c r="T66" s="1323"/>
      <c r="U66" s="1323"/>
      <c r="V66" s="1323"/>
      <c r="W66" s="1323"/>
      <c r="X66" s="1323"/>
      <c r="Y66" s="1323"/>
      <c r="Z66" s="1323"/>
      <c r="AA66" s="1323"/>
      <c r="AB66" s="1323"/>
      <c r="AC66" s="1323"/>
      <c r="AD66" s="1323"/>
      <c r="AE66" s="1323"/>
      <c r="AF66" s="1323"/>
      <c r="AG66" s="1323"/>
      <c r="AH66" s="1323"/>
      <c r="AI66" s="1323"/>
      <c r="AJ66" s="1323"/>
      <c r="AK66" s="1323"/>
      <c r="AL66" s="1323"/>
      <c r="AM66" s="1323"/>
      <c r="AN66" s="1323"/>
      <c r="AO66" s="1323"/>
      <c r="AP66" s="1323"/>
      <c r="AQ66" s="1323"/>
      <c r="AR66" s="1323"/>
      <c r="AS66" s="1323"/>
      <c r="AT66" s="1323"/>
      <c r="AU66" s="1323"/>
      <c r="AV66" s="1323"/>
      <c r="AW66" s="1323"/>
      <c r="AX66" s="1323"/>
      <c r="AY66" s="1323"/>
      <c r="AZ66" s="1323"/>
      <c r="BA66" s="1323"/>
      <c r="BB66" s="1323"/>
      <c r="BC66" s="1323"/>
    </row>
    <row r="67" spans="15:55" ht="18.75" customHeight="1">
      <c r="O67" s="443"/>
      <c r="S67" s="1135"/>
      <c r="T67" s="16144"/>
      <c r="U67" s="16144"/>
      <c r="V67" s="16144"/>
      <c r="W67" s="16144"/>
      <c r="X67" s="16144"/>
      <c r="Y67" s="16144"/>
      <c r="Z67" s="16144"/>
      <c r="AA67" s="16144"/>
      <c r="AB67" s="16144"/>
      <c r="AC67" s="16144"/>
      <c r="AD67" s="16144"/>
      <c r="AE67" s="16144"/>
      <c r="AF67" s="16144"/>
      <c r="AG67" s="16144"/>
      <c r="AH67" s="16144"/>
      <c r="AI67" s="16144"/>
      <c r="AJ67" s="16144"/>
      <c r="AK67" s="16144"/>
      <c r="AL67" s="16144"/>
      <c r="AM67" s="16144"/>
      <c r="AN67" s="16144"/>
      <c r="AO67" s="16144"/>
      <c r="AP67" s="16144"/>
      <c r="AQ67" s="16144"/>
      <c r="AR67" s="16144"/>
      <c r="AS67" s="16144"/>
      <c r="AT67" s="16144"/>
      <c r="AU67" s="16144"/>
      <c r="AV67" s="16144"/>
      <c r="AW67" s="16144"/>
      <c r="AX67" s="16144"/>
      <c r="AY67" s="16144"/>
      <c r="AZ67" s="16144"/>
      <c r="BA67" s="16144"/>
      <c r="BB67" s="16144"/>
      <c r="BC67" s="16144"/>
    </row>
    <row r="68" spans="15:55" ht="14.25" customHeight="1">
      <c r="O68" s="44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4.140625" style="14419" hidden="1" customWidth="1"/>
    <col min="10" max="10" width="9.85546875" style="14419" hidden="1" customWidth="1"/>
    <col min="11" max="11" width="14.7109375" style="14419" hidden="1" customWidth="1"/>
    <col min="12" max="12" width="19.140625" style="14445" hidden="1" customWidth="1"/>
    <col min="13" max="14" width="12.28515625" style="14423" hidden="1" customWidth="1"/>
    <col min="15" max="15" width="23.42578125" style="14423" hidden="1" customWidth="1"/>
    <col min="16" max="16" width="3.7109375" style="14446" customWidth="1"/>
    <col min="17" max="18" width="3.7109375" style="14425" customWidth="1"/>
    <col min="19" max="19" width="12.7109375" style="14426" customWidth="1"/>
    <col min="20" max="20" width="35.7109375" style="14427" customWidth="1"/>
    <col min="21" max="21" width="0.140625" style="14427" customWidth="1"/>
    <col min="22" max="24" width="24.7109375" style="14427" hidden="1" customWidth="1"/>
    <col min="25" max="25" width="11.7109375" style="14427" hidden="1" customWidth="1"/>
    <col min="26" max="26" width="3.7109375" style="14427" hidden="1" customWidth="1"/>
    <col min="27" max="27" width="11.7109375" style="14427" hidden="1" customWidth="1"/>
    <col min="28" max="28" width="8.5703125" style="14427" hidden="1" customWidth="1"/>
    <col min="29" max="31" width="24.7109375" style="14427" customWidth="1"/>
    <col min="32" max="32" width="11.7109375" style="14427" customWidth="1"/>
    <col min="33" max="33" width="3.7109375" style="14427" customWidth="1"/>
    <col min="34" max="34" width="11.7109375" style="14427" customWidth="1"/>
    <col min="35" max="35" width="8.5703125" style="14427" hidden="1" customWidth="1"/>
    <col min="36" max="36" width="4.7109375" style="14427" customWidth="1"/>
    <col min="37" max="37" width="115.7109375" style="14427" customWidth="1"/>
    <col min="38" max="39" width="10.5703125" style="14421"/>
    <col min="40" max="40" width="11.140625" style="14421" customWidth="1"/>
    <col min="41" max="42" width="10.5703125" style="14421"/>
  </cols>
  <sheetData>
    <row r="1" spans="1:42" ht="14.25" hidden="1" customHeight="1">
      <c r="X1" s="244"/>
      <c r="Y1" s="244"/>
      <c r="AE1" s="244"/>
      <c r="AF1" s="244"/>
    </row>
    <row r="2" spans="1:42" ht="23.25" hidden="1" customHeight="1">
      <c r="A2" s="1240"/>
      <c r="B2" s="1240"/>
      <c r="C2" s="1240"/>
      <c r="D2" s="1240"/>
      <c r="E2" s="16124">
        <v>1</v>
      </c>
      <c r="F2" s="1240"/>
      <c r="G2" s="1240"/>
      <c r="H2" s="1240"/>
      <c r="I2" s="1240"/>
      <c r="J2" s="1240"/>
      <c r="K2" s="1240"/>
      <c r="L2" s="1241"/>
      <c r="M2" s="1242"/>
      <c r="N2" s="1242"/>
      <c r="O2" s="1242"/>
      <c r="P2" s="277"/>
      <c r="Q2" s="276"/>
      <c r="R2" s="271"/>
      <c r="S2" s="1364" t="e">
        <f>INDEX(PT_DIFFERENTIATION_NUM_NTAR,MATCH(A2,PT_DIFFERENTIATION_NTAR_ID,0))</f>
        <v>#N/A</v>
      </c>
      <c r="T2" s="215" t="s">
        <v>158</v>
      </c>
      <c r="U2" s="217"/>
      <c r="V2" s="16110"/>
      <c r="W2" s="16111"/>
      <c r="X2" s="16111"/>
      <c r="Y2" s="16111"/>
      <c r="Z2" s="16111"/>
      <c r="AA2" s="16111"/>
      <c r="AB2" s="16112"/>
      <c r="AC2" s="16110" t="e">
        <f>INDEX(PT_DIFFERENTIATION_NTAR,MATCH(A2,PT_DIFFERENTIATION_NTAR_ID,0))</f>
        <v>#N/A</v>
      </c>
      <c r="AD2" s="16111"/>
      <c r="AE2" s="16111"/>
      <c r="AF2" s="16111"/>
      <c r="AG2" s="16111"/>
      <c r="AH2" s="16111"/>
      <c r="AI2" s="16111"/>
      <c r="AJ2" s="16112"/>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16125"/>
      <c r="F3" s="16124">
        <v>1</v>
      </c>
      <c r="G3" s="1240"/>
      <c r="H3" s="1240"/>
      <c r="I3" s="1240"/>
      <c r="J3" s="1240"/>
      <c r="K3" s="1240"/>
      <c r="L3" s="1241"/>
      <c r="M3" s="1242"/>
      <c r="N3" s="1242"/>
      <c r="O3" s="1242"/>
      <c r="P3" s="1358"/>
      <c r="Q3" s="268"/>
      <c r="R3" s="269"/>
      <c r="S3" s="1364" t="e">
        <f>INDEX(PT_DIFFERENTIATION_NUM_TER,MATCH(B3,PT_DIFFERENTIATION_TER_ID,0))</f>
        <v>#N/A</v>
      </c>
      <c r="T3" s="225" t="s">
        <v>534</v>
      </c>
      <c r="U3" s="217"/>
      <c r="V3" s="16110"/>
      <c r="W3" s="16111"/>
      <c r="X3" s="16111"/>
      <c r="Y3" s="16111"/>
      <c r="Z3" s="16111"/>
      <c r="AA3" s="16111"/>
      <c r="AB3" s="16112"/>
      <c r="AC3" s="16110" t="e">
        <f>INDEX(PT_DIFFERENTIATION_TER,MATCH(B3,PT_DIFFERENTIATION_TER_ID,0))</f>
        <v>#N/A</v>
      </c>
      <c r="AD3" s="16111"/>
      <c r="AE3" s="16111"/>
      <c r="AF3" s="16111"/>
      <c r="AG3" s="16111"/>
      <c r="AH3" s="16111"/>
      <c r="AI3" s="16111"/>
      <c r="AJ3" s="16112"/>
      <c r="AK3" s="1140" t="s">
        <v>535</v>
      </c>
      <c r="AM3" s="407"/>
      <c r="AN3" s="407" t="str">
        <f t="shared" si="0"/>
        <v>Территория действия тарифа</v>
      </c>
      <c r="AO3" s="407"/>
      <c r="AP3" s="407"/>
    </row>
    <row r="4" spans="1:42" ht="23.25" hidden="1" customHeight="1">
      <c r="A4" s="1240"/>
      <c r="B4" s="1240"/>
      <c r="C4" s="1240"/>
      <c r="D4" s="1240"/>
      <c r="E4" s="16125"/>
      <c r="F4" s="16125"/>
      <c r="G4" s="16124">
        <v>1</v>
      </c>
      <c r="H4" s="1240"/>
      <c r="I4" s="1240"/>
      <c r="J4" s="1240"/>
      <c r="K4" s="1240"/>
      <c r="L4" s="1241"/>
      <c r="M4" s="1242"/>
      <c r="N4" s="1242"/>
      <c r="O4" s="1242"/>
      <c r="P4" s="270"/>
      <c r="Q4" s="268"/>
      <c r="R4" s="269"/>
      <c r="S4" s="1364" t="e">
        <f>INDEX(PT_DIFFERENTIATION_NUM_CS,MATCH(C4,PT_DIFFERENTIATION_CS_ID,0))</f>
        <v>#N/A</v>
      </c>
      <c r="T4" s="226" t="s">
        <v>651</v>
      </c>
      <c r="U4" s="217"/>
      <c r="V4" s="16110"/>
      <c r="W4" s="16111"/>
      <c r="X4" s="16111"/>
      <c r="Y4" s="16111"/>
      <c r="Z4" s="16111"/>
      <c r="AA4" s="16111"/>
      <c r="AB4" s="16112"/>
      <c r="AC4" s="16110" t="e">
        <f>INDEX(PT_DIFFERENTIATION_CS,MATCH(C4,PT_DIFFERENTIATION_CS_ID,0))</f>
        <v>#N/A</v>
      </c>
      <c r="AD4" s="16111"/>
      <c r="AE4" s="16111"/>
      <c r="AF4" s="16111"/>
      <c r="AG4" s="16111"/>
      <c r="AH4" s="16111"/>
      <c r="AI4" s="16111"/>
      <c r="AJ4" s="16112"/>
      <c r="AK4" s="1140" t="s">
        <v>652</v>
      </c>
      <c r="AM4" s="407"/>
      <c r="AN4" s="407" t="str">
        <f t="shared" si="0"/>
        <v>Наименование централизованной системы водоотведения</v>
      </c>
      <c r="AO4" s="407"/>
      <c r="AP4" s="407"/>
    </row>
    <row r="5" spans="1:42" ht="23.25" hidden="1" customHeight="1">
      <c r="A5" s="1240"/>
      <c r="B5" s="1240"/>
      <c r="C5" s="1240"/>
      <c r="D5" s="1240"/>
      <c r="E5" s="16125"/>
      <c r="F5" s="16125"/>
      <c r="G5" s="16125"/>
      <c r="H5" s="16125"/>
      <c r="I5" s="16122" t="e">
        <f>S4&amp;".1"</f>
        <v>#N/A</v>
      </c>
      <c r="J5" s="1240"/>
      <c r="K5" s="1240"/>
      <c r="L5" s="1241"/>
      <c r="P5" s="16123">
        <v>1</v>
      </c>
      <c r="Q5" s="1352"/>
      <c r="R5" s="272"/>
      <c r="S5" s="1364" t="e">
        <f>$I5</f>
        <v>#N/A</v>
      </c>
      <c r="T5" s="202" t="s">
        <v>618</v>
      </c>
      <c r="U5" s="217"/>
      <c r="V5" s="16183"/>
      <c r="W5" s="16184"/>
      <c r="X5" s="16184"/>
      <c r="Y5" s="16184"/>
      <c r="Z5" s="16184"/>
      <c r="AA5" s="16184"/>
      <c r="AB5" s="16185"/>
      <c r="AC5" s="16186"/>
      <c r="AD5" s="16187"/>
      <c r="AE5" s="16187"/>
      <c r="AF5" s="16187"/>
      <c r="AG5" s="16187"/>
      <c r="AH5" s="16187"/>
      <c r="AI5" s="16187"/>
      <c r="AJ5" s="16188"/>
      <c r="AK5" s="1140" t="s">
        <v>619</v>
      </c>
      <c r="AM5" s="407"/>
      <c r="AN5" s="407" t="str">
        <f t="shared" si="0"/>
        <v>Наименование признака дифференциации</v>
      </c>
      <c r="AO5" s="407"/>
      <c r="AP5" s="407"/>
    </row>
    <row r="6" spans="1:42" ht="23.25" hidden="1" customHeight="1">
      <c r="A6" s="1240"/>
      <c r="B6" s="1240"/>
      <c r="C6" s="1240"/>
      <c r="D6" s="1240"/>
      <c r="E6" s="16125"/>
      <c r="F6" s="16125"/>
      <c r="G6" s="16125"/>
      <c r="H6" s="16125"/>
      <c r="I6" s="16145"/>
      <c r="J6" s="16122" t="e">
        <f>I5&amp;".1"</f>
        <v>#N/A</v>
      </c>
      <c r="K6" s="1240"/>
      <c r="L6" s="1241" t="s">
        <v>543</v>
      </c>
      <c r="P6" s="16123"/>
      <c r="Q6" s="16123">
        <v>1</v>
      </c>
      <c r="R6" s="273"/>
      <c r="S6" s="1364" t="e">
        <f>$J6</f>
        <v>#N/A</v>
      </c>
      <c r="T6" s="203" t="s">
        <v>544</v>
      </c>
      <c r="U6" s="217"/>
      <c r="V6" s="16113"/>
      <c r="W6" s="16114"/>
      <c r="X6" s="16114"/>
      <c r="Y6" s="16114"/>
      <c r="Z6" s="16114"/>
      <c r="AA6" s="16114"/>
      <c r="AB6" s="16115"/>
      <c r="AC6" s="16113"/>
      <c r="AD6" s="16114"/>
      <c r="AE6" s="16114"/>
      <c r="AF6" s="16114"/>
      <c r="AG6" s="16114"/>
      <c r="AH6" s="16114"/>
      <c r="AI6" s="16114"/>
      <c r="AJ6" s="16115"/>
      <c r="AK6" s="1187" t="s">
        <v>620</v>
      </c>
      <c r="AM6" s="407"/>
      <c r="AN6" s="407" t="str">
        <f t="shared" si="0"/>
        <v>Группа потребителей</v>
      </c>
      <c r="AO6" s="407"/>
      <c r="AP6" s="407"/>
    </row>
    <row r="7" spans="1:42" ht="23.25" hidden="1" customHeight="1">
      <c r="A7" s="1240"/>
      <c r="B7" s="1240"/>
      <c r="C7" s="1240"/>
      <c r="D7" s="1240"/>
      <c r="E7" s="16125"/>
      <c r="F7" s="16125"/>
      <c r="G7" s="16125"/>
      <c r="H7" s="16125"/>
      <c r="I7" s="16145"/>
      <c r="J7" s="16145"/>
      <c r="K7" s="16122" t="e">
        <f>J6&amp;".1"</f>
        <v>#N/A</v>
      </c>
      <c r="L7" s="1241"/>
      <c r="P7" s="16123"/>
      <c r="Q7" s="16123"/>
      <c r="R7" s="273">
        <v>1</v>
      </c>
      <c r="S7" s="1364" t="e">
        <f>$K7</f>
        <v>#N/A</v>
      </c>
      <c r="T7" s="1313"/>
      <c r="U7" s="217"/>
      <c r="V7" s="649"/>
      <c r="W7" s="649"/>
      <c r="X7" s="1139"/>
      <c r="Y7" s="16127"/>
      <c r="Z7" s="15973" t="s">
        <v>66</v>
      </c>
      <c r="AA7" s="16127"/>
      <c r="AB7" s="15973" t="s">
        <v>66</v>
      </c>
      <c r="AC7" s="649"/>
      <c r="AD7" s="649"/>
      <c r="AE7" s="1139"/>
      <c r="AF7" s="16127"/>
      <c r="AG7" s="15973" t="s">
        <v>66</v>
      </c>
      <c r="AH7" s="16146"/>
      <c r="AI7" s="15973" t="s">
        <v>66</v>
      </c>
      <c r="AJ7" s="1314"/>
      <c r="AK7"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16125"/>
      <c r="F8" s="16125"/>
      <c r="G8" s="16125"/>
      <c r="H8" s="16125"/>
      <c r="I8" s="16145"/>
      <c r="J8" s="16145"/>
      <c r="K8" s="16122"/>
      <c r="L8" s="1241"/>
      <c r="P8" s="16123"/>
      <c r="Q8" s="16123"/>
      <c r="R8" s="273"/>
      <c r="S8" s="1361"/>
      <c r="T8" s="217"/>
      <c r="U8" s="217"/>
      <c r="V8" s="242"/>
      <c r="W8" s="242"/>
      <c r="X8" s="245" t="str">
        <f>Y7&amp;"-"&amp;AA7</f>
        <v>-</v>
      </c>
      <c r="Y8" s="16128"/>
      <c r="Z8" s="15973"/>
      <c r="AA8" s="16128"/>
      <c r="AB8" s="15973"/>
      <c r="AC8" s="242"/>
      <c r="AD8" s="242"/>
      <c r="AE8" s="245" t="str">
        <f>AF7&amp;"-"&amp;AH7</f>
        <v>-</v>
      </c>
      <c r="AF8" s="16128"/>
      <c r="AG8" s="15973"/>
      <c r="AH8" s="16147"/>
      <c r="AI8" s="15973"/>
      <c r="AJ8" s="1315"/>
      <c r="AK8" s="16182"/>
      <c r="AM8" s="407"/>
      <c r="AN8" s="407" t="str">
        <f t="shared" si="0"/>
        <v/>
      </c>
      <c r="AO8" s="407"/>
      <c r="AP8" s="407"/>
    </row>
    <row r="9" spans="1:42" ht="21" hidden="1" customHeight="1">
      <c r="A9" s="1240"/>
      <c r="B9" s="1240"/>
      <c r="C9" s="1240"/>
      <c r="D9" s="1240"/>
      <c r="E9" s="16125"/>
      <c r="F9" s="16125"/>
      <c r="G9" s="16125"/>
      <c r="H9" s="16125"/>
      <c r="I9" s="16145"/>
      <c r="J9" s="16122"/>
      <c r="K9" s="1240"/>
      <c r="L9" s="1241"/>
      <c r="P9" s="16123"/>
      <c r="Q9" s="16123"/>
      <c r="R9" s="272"/>
      <c r="S9" s="1160"/>
      <c r="T9" s="204" t="s">
        <v>621</v>
      </c>
      <c r="U9" s="282"/>
      <c r="V9" s="282"/>
      <c r="W9" s="282"/>
      <c r="X9" s="282"/>
      <c r="Y9" s="282"/>
      <c r="Z9" s="282"/>
      <c r="AA9" s="282"/>
      <c r="AB9" s="282"/>
      <c r="AC9" s="282"/>
      <c r="AD9" s="282"/>
      <c r="AE9" s="282"/>
      <c r="AF9" s="282"/>
      <c r="AG9" s="282"/>
      <c r="AH9" s="282"/>
      <c r="AI9" s="282"/>
      <c r="AJ9" s="282"/>
      <c r="AK9" s="1140" t="s">
        <v>622</v>
      </c>
      <c r="AM9" s="407"/>
      <c r="AN9" s="407" t="str">
        <f t="shared" si="0"/>
        <v>Добавить значение признака дифференциации</v>
      </c>
      <c r="AO9" s="407"/>
      <c r="AP9" s="407"/>
    </row>
    <row r="10" spans="1:42" ht="21" hidden="1" customHeight="1">
      <c r="A10" s="1240"/>
      <c r="B10" s="1240"/>
      <c r="C10" s="1240"/>
      <c r="D10" s="1240"/>
      <c r="E10" s="16125"/>
      <c r="F10" s="16125"/>
      <c r="G10" s="16125"/>
      <c r="H10" s="16125"/>
      <c r="I10" s="16122"/>
      <c r="J10" s="1240"/>
      <c r="K10" s="1240"/>
      <c r="L10" s="1241"/>
      <c r="P10" s="16123"/>
      <c r="Q10" s="1352"/>
      <c r="R10" s="272"/>
      <c r="S10" s="1160"/>
      <c r="T10" s="280" t="s">
        <v>549</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16125"/>
      <c r="F11" s="16125"/>
      <c r="G11" s="16125"/>
      <c r="H11" s="16124"/>
      <c r="I11" s="1240"/>
      <c r="J11" s="1240"/>
      <c r="K11" s="1240"/>
      <c r="L11" s="1241"/>
      <c r="M11" s="1242"/>
      <c r="N11" s="1242"/>
      <c r="O11" s="443"/>
      <c r="P11" s="276"/>
      <c r="Q11" s="290"/>
      <c r="R11" s="271"/>
      <c r="S11" s="1160"/>
      <c r="T11" s="287" t="s">
        <v>623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4418" customFormat="1" ht="14.25" hidden="1" customHeight="1">
      <c r="A12" s="1221"/>
      <c r="B12" s="1221"/>
      <c r="C12" s="1193"/>
      <c r="D12" s="1193"/>
      <c r="E12" s="16125"/>
      <c r="F12" s="16124"/>
      <c r="G12" s="1193"/>
      <c r="H12" s="1193"/>
      <c r="I12" s="1193"/>
      <c r="J12" s="1193"/>
      <c r="K12" s="1193"/>
      <c r="L12" s="1365"/>
      <c r="M12" s="1200"/>
      <c r="N12" s="1200"/>
      <c r="P12" s="1195"/>
      <c r="Q12" s="1196"/>
      <c r="R12" s="1195"/>
      <c r="S12" s="1201"/>
      <c r="T12" s="1204" t="s">
        <v>290</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4421" customFormat="1" ht="14.25" hidden="1" customHeight="1">
      <c r="A13" s="1221"/>
      <c r="B13" s="1221"/>
      <c r="C13" s="1221"/>
      <c r="D13" s="1221"/>
      <c r="E13" s="16124"/>
      <c r="F13" s="1221"/>
      <c r="G13" s="1221"/>
      <c r="H13" s="1221"/>
      <c r="I13" s="1221"/>
      <c r="J13" s="1221"/>
      <c r="K13" s="1221"/>
      <c r="L13" s="1224"/>
      <c r="M13" s="1200"/>
      <c r="N13" s="1200"/>
      <c r="O13" s="425"/>
      <c r="P13" s="295"/>
      <c r="Q13" s="1222"/>
      <c r="R13" s="295"/>
      <c r="S13" s="1201"/>
      <c r="T13" s="1204" t="s">
        <v>326</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16129"/>
      <c r="AG15" s="16130" t="s">
        <v>66</v>
      </c>
      <c r="AH15" s="16129"/>
      <c r="AI15" s="16130" t="s">
        <v>66</v>
      </c>
    </row>
    <row r="16" spans="1:42" ht="14.25" hidden="1" customHeight="1">
      <c r="AC16" s="1237"/>
      <c r="AD16" s="1237"/>
      <c r="AE16" s="245" t="str">
        <f>AF15&amp;"-"&amp;AH15</f>
        <v>-</v>
      </c>
      <c r="AF16" s="16130"/>
      <c r="AG16" s="16130"/>
      <c r="AH16" s="16130"/>
      <c r="AI16" s="16130"/>
    </row>
    <row r="17" spans="1:42" ht="14.25" hidden="1" customHeight="1">
      <c r="AI17" s="244"/>
    </row>
    <row r="18" spans="1:42" s="14419" customFormat="1" ht="22.5" hidden="1" customHeight="1">
      <c r="L18" s="1349"/>
      <c r="M18" s="1239"/>
      <c r="N18" s="1239"/>
      <c r="O18" s="1244" t="s">
        <v>552</v>
      </c>
      <c r="P18" s="1239"/>
      <c r="Q18" s="1248"/>
      <c r="R18" s="1248"/>
      <c r="S18" s="629"/>
      <c r="Y18" s="1244"/>
      <c r="AA18" s="1244"/>
      <c r="AB18" s="1243"/>
      <c r="AF18" s="1244"/>
      <c r="AH18" s="1244"/>
      <c r="AI18" s="1243"/>
      <c r="AL18" s="418"/>
      <c r="AM18" s="418"/>
      <c r="AN18" s="418"/>
      <c r="AO18" s="418"/>
      <c r="AP18" s="418"/>
    </row>
    <row r="19" spans="1:42" s="14419" customFormat="1" ht="14.25" hidden="1" customHeight="1">
      <c r="L19" s="1349"/>
      <c r="M19" s="1239"/>
      <c r="N19" s="1239"/>
      <c r="O19" s="1239"/>
      <c r="P19" s="1239"/>
      <c r="Q19" s="1248"/>
      <c r="R19" s="1248"/>
      <c r="S19" s="629"/>
      <c r="AB19" s="1243"/>
      <c r="AI19" s="1243"/>
      <c r="AL19" s="418"/>
      <c r="AM19" s="418"/>
      <c r="AN19" s="418"/>
      <c r="AO19" s="418"/>
      <c r="AP19" s="418"/>
    </row>
    <row r="20" spans="1:42" s="14419" customFormat="1" ht="12" hidden="1" customHeight="1">
      <c r="L20" s="1349"/>
      <c r="M20" s="1239"/>
      <c r="N20" s="1239"/>
      <c r="O20" s="1241" t="s">
        <v>553</v>
      </c>
      <c r="P20" s="1239"/>
      <c r="Q20" s="1317"/>
      <c r="R20" s="1317"/>
      <c r="S20" s="629"/>
      <c r="T20" s="1041" t="s">
        <v>554</v>
      </c>
      <c r="Z20" s="108" t="s">
        <v>555</v>
      </c>
      <c r="AB20" s="108" t="s">
        <v>556</v>
      </c>
      <c r="AC20" s="1041" t="s">
        <v>554</v>
      </c>
      <c r="AG20" s="108" t="s">
        <v>557</v>
      </c>
      <c r="AI20" s="108" t="s">
        <v>556</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1610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6108"/>
      <c r="U24" s="16108"/>
      <c r="V24" s="16108"/>
      <c r="W24" s="16108"/>
      <c r="X24" s="16108"/>
      <c r="Y24" s="16108"/>
      <c r="Z24" s="16108"/>
      <c r="AA24" s="16108"/>
      <c r="AB24" s="16108"/>
      <c r="AC24" s="16108"/>
      <c r="AD24" s="16108"/>
      <c r="AE24" s="16108"/>
      <c r="AF24" s="16108"/>
      <c r="AG24" s="16108"/>
      <c r="AH24" s="16108"/>
      <c r="AI24" s="1125"/>
    </row>
    <row r="25" spans="1:42" ht="14.25" customHeight="1">
      <c r="Q25" s="291"/>
      <c r="R25" s="291"/>
      <c r="S25" s="16056" t="str">
        <f>IF(org=0,"Не определено",org)</f>
        <v>АО "Мурманэнергосбыт"</v>
      </c>
      <c r="T25" s="16056"/>
      <c r="U25" s="16056"/>
      <c r="V25" s="16056"/>
      <c r="W25" s="16056"/>
      <c r="X25" s="16056"/>
      <c r="Y25" s="16056"/>
      <c r="Z25" s="16056"/>
      <c r="AA25" s="16056"/>
      <c r="AB25" s="16056"/>
      <c r="AC25" s="16056"/>
      <c r="AD25" s="16056"/>
      <c r="AE25" s="16056"/>
      <c r="AF25" s="16056"/>
      <c r="AG25" s="16056"/>
      <c r="AH25" s="16056"/>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4420" customFormat="1" ht="25.5" customHeight="1">
      <c r="A27" s="1245"/>
      <c r="B27" s="1245"/>
      <c r="C27" s="1245"/>
      <c r="D27" s="1245"/>
      <c r="E27" s="1245"/>
      <c r="F27" s="1245"/>
      <c r="G27" s="1245"/>
      <c r="H27" s="1245"/>
      <c r="I27" s="1245"/>
      <c r="J27" s="1245"/>
      <c r="K27" s="1245"/>
      <c r="L27" s="1246"/>
      <c r="M27" s="1245"/>
      <c r="N27" s="1245"/>
      <c r="O27" s="1245"/>
      <c r="S27" s="16116" t="s">
        <v>38</v>
      </c>
      <c r="T27" s="16116"/>
      <c r="U27" s="1249"/>
      <c r="V27" s="16117" t="str">
        <f>IF(TITLE_NAME_OR_PR_CHANGE="",IF(TITLE_NAME_OR_PR="","",TITLE_NAME_OR_PR),TITLE_NAME_OR_PR_CHANGE)</f>
        <v>Комитет по тарифному регулированию Мурманской области</v>
      </c>
      <c r="W27" s="16117"/>
      <c r="X27" s="16117"/>
      <c r="Y27" s="16117"/>
      <c r="Z27" s="16117"/>
      <c r="AA27" s="16117"/>
      <c r="AB27" s="243"/>
      <c r="AC27" s="16117" t="str">
        <f>IF(TITLE_NAME_OR_PR_CHANGE="",IF(TITLE_NAME_OR_PR="","",TITLE_NAME_OR_PR),TITLE_NAME_OR_PR_CHANGE)</f>
        <v>Комитет по тарифному регулированию Мурманской области</v>
      </c>
      <c r="AD27" s="16117"/>
      <c r="AE27" s="16117"/>
      <c r="AF27" s="16117"/>
      <c r="AG27" s="16117"/>
      <c r="AH27" s="16117"/>
      <c r="AI27" s="243"/>
      <c r="AJ27" s="243"/>
      <c r="AK27" s="198"/>
      <c r="AL27" s="283"/>
      <c r="AM27" s="283"/>
      <c r="AN27" s="283"/>
      <c r="AO27" s="283"/>
      <c r="AP27" s="283"/>
    </row>
    <row r="28" spans="1:42" s="14420" customFormat="1" ht="18.75" customHeight="1">
      <c r="A28" s="1245"/>
      <c r="B28" s="1245"/>
      <c r="C28" s="1245"/>
      <c r="D28" s="1245"/>
      <c r="E28" s="1245"/>
      <c r="F28" s="1245"/>
      <c r="G28" s="1245"/>
      <c r="H28" s="1245"/>
      <c r="I28" s="1245"/>
      <c r="J28" s="1245"/>
      <c r="K28" s="1245"/>
      <c r="L28" s="1246"/>
      <c r="M28" s="1245"/>
      <c r="N28" s="1245"/>
      <c r="O28" s="1245"/>
      <c r="S28" s="16116" t="s">
        <v>558</v>
      </c>
      <c r="T28" s="16116"/>
      <c r="U28" s="1249"/>
      <c r="V28" s="16126">
        <f>IF(TITLE_DATE_PR_CHANGE="",IF(TITLE_DATE_PR="","",TITLE_DATE_PR),TITLE_DATE_PR_CHANGE)</f>
        <v>45379</v>
      </c>
      <c r="W28" s="16126"/>
      <c r="X28" s="16126"/>
      <c r="Y28" s="16126"/>
      <c r="Z28" s="16126"/>
      <c r="AA28" s="16126"/>
      <c r="AB28" s="243"/>
      <c r="AC28" s="16126">
        <f>IF(TITLE_DATE_PR_CHANGE="",IF(TITLE_DATE_PR="","",TITLE_DATE_PR),TITLE_DATE_PR_CHANGE)</f>
        <v>45379</v>
      </c>
      <c r="AD28" s="16126"/>
      <c r="AE28" s="16126"/>
      <c r="AF28" s="16126"/>
      <c r="AG28" s="16126"/>
      <c r="AH28" s="16126"/>
      <c r="AI28" s="243"/>
      <c r="AJ28" s="243"/>
      <c r="AK28" s="198"/>
      <c r="AL28" s="283"/>
      <c r="AM28" s="283"/>
      <c r="AN28" s="283"/>
      <c r="AO28" s="283"/>
      <c r="AP28" s="283"/>
    </row>
    <row r="29" spans="1:42" s="14420" customFormat="1" ht="18.75" customHeight="1">
      <c r="A29" s="1245"/>
      <c r="B29" s="1245"/>
      <c r="C29" s="1245"/>
      <c r="D29" s="1245"/>
      <c r="E29" s="1245"/>
      <c r="F29" s="1245"/>
      <c r="G29" s="1245"/>
      <c r="H29" s="1245"/>
      <c r="I29" s="1245"/>
      <c r="J29" s="1245"/>
      <c r="K29" s="1245"/>
      <c r="L29" s="1246"/>
      <c r="M29" s="1245"/>
      <c r="N29" s="1245"/>
      <c r="O29" s="1245"/>
      <c r="S29" s="16116" t="s">
        <v>559</v>
      </c>
      <c r="T29" s="16116"/>
      <c r="U29" s="1249"/>
      <c r="V29" s="16117" t="str">
        <f>IF(TITLE_NUMBER_PR_CHANGE="",IF(TITLE_NUMBER_PR="","",TITLE_NUMBER_PR),TITLE_NUMBER_PR_CHANGE)</f>
        <v>8/6</v>
      </c>
      <c r="W29" s="16117"/>
      <c r="X29" s="16117"/>
      <c r="Y29" s="16117"/>
      <c r="Z29" s="16117"/>
      <c r="AA29" s="16117"/>
      <c r="AB29" s="243"/>
      <c r="AC29" s="16117" t="str">
        <f>IF(TITLE_NUMBER_PR_CHANGE="",IF(TITLE_NUMBER_PR="","",TITLE_NUMBER_PR),TITLE_NUMBER_PR_CHANGE)</f>
        <v>8/6</v>
      </c>
      <c r="AD29" s="16117"/>
      <c r="AE29" s="16117"/>
      <c r="AF29" s="16117"/>
      <c r="AG29" s="16117"/>
      <c r="AH29" s="16117"/>
      <c r="AI29" s="243"/>
      <c r="AJ29" s="243"/>
      <c r="AK29" s="198"/>
      <c r="AL29" s="283"/>
      <c r="AM29" s="283"/>
      <c r="AN29" s="283"/>
      <c r="AO29" s="283"/>
      <c r="AP29" s="283"/>
    </row>
    <row r="30" spans="1:42" s="14420" customFormat="1" ht="18.75" customHeight="1">
      <c r="A30" s="1245"/>
      <c r="B30" s="1245"/>
      <c r="C30" s="1245"/>
      <c r="D30" s="1245"/>
      <c r="E30" s="1245"/>
      <c r="F30" s="1245"/>
      <c r="G30" s="1245"/>
      <c r="H30" s="1245"/>
      <c r="I30" s="1245"/>
      <c r="J30" s="1245"/>
      <c r="K30" s="1245"/>
      <c r="L30" s="1246"/>
      <c r="M30" s="1245"/>
      <c r="N30" s="1245"/>
      <c r="O30" s="1245"/>
      <c r="S30" s="16116" t="s">
        <v>40</v>
      </c>
      <c r="T30" s="16116"/>
      <c r="U30" s="1249"/>
      <c r="V30" s="16117" t="str">
        <f>IF(TITLE_IST_PUB_CHANGE="",IF(TITLE_IST_PUB="","",TITLE_IST_PUB),TITLE_IST_PUB_CHANGE)</f>
        <v>https://npa.gov-murman.ru/bitrix/components/b1team/govmurman.element.file/download.php?ID=518761&amp;FID=765125</v>
      </c>
      <c r="W30" s="16117"/>
      <c r="X30" s="16117"/>
      <c r="Y30" s="16117"/>
      <c r="Z30" s="16117"/>
      <c r="AA30" s="16117"/>
      <c r="AB30" s="243"/>
      <c r="AC30" s="16117" t="str">
        <f>IF(TITLE_IST_PUB_CHANGE="",IF(TITLE_IST_PUB="","",TITLE_IST_PUB),TITLE_IST_PUB_CHANGE)</f>
        <v>https://npa.gov-murman.ru/bitrix/components/b1team/govmurman.element.file/download.php?ID=518761&amp;FID=765125</v>
      </c>
      <c r="AD30" s="16117"/>
      <c r="AE30" s="16117"/>
      <c r="AF30" s="16117"/>
      <c r="AG30" s="16117"/>
      <c r="AH30" s="16117"/>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4420" customFormat="1" ht="18.75" hidden="1" customHeight="1">
      <c r="A32" s="1245"/>
      <c r="B32" s="1245"/>
      <c r="C32" s="1245"/>
      <c r="D32" s="1245"/>
      <c r="E32" s="1245"/>
      <c r="F32" s="1245"/>
      <c r="G32" s="1245"/>
      <c r="H32" s="1245"/>
      <c r="I32" s="1245"/>
      <c r="J32" s="1245"/>
      <c r="K32" s="1245"/>
      <c r="L32" s="1246"/>
      <c r="M32" s="1245"/>
      <c r="N32" s="1245"/>
      <c r="O32" s="1245"/>
      <c r="S32" s="16116" t="s">
        <v>560</v>
      </c>
      <c r="T32" s="16116"/>
      <c r="U32" s="1249"/>
      <c r="V32" s="16126">
        <f>IF(TITLE_DATE_PR_CHANGE="",IF(TITLE_DATE_PR="","",TITLE_DATE_PR),TITLE_DATE_PR_CHANGE)</f>
        <v>45379</v>
      </c>
      <c r="W32" s="16126"/>
      <c r="X32" s="16126"/>
      <c r="Y32" s="16126"/>
      <c r="Z32" s="16126"/>
      <c r="AA32" s="16126"/>
      <c r="AB32" s="243"/>
      <c r="AC32" s="16126">
        <f>IF(TITLE_DATE_PR_CHANGE="",IF(TITLE_DATE_PR="","",TITLE_DATE_PR),TITLE_DATE_PR_CHANGE)</f>
        <v>45379</v>
      </c>
      <c r="AD32" s="16126"/>
      <c r="AE32" s="16126"/>
      <c r="AF32" s="16126"/>
      <c r="AG32" s="16126"/>
      <c r="AH32" s="16126"/>
      <c r="AI32" s="243"/>
      <c r="AJ32" s="243"/>
      <c r="AK32" s="198"/>
      <c r="AL32" s="283"/>
      <c r="AM32" s="283"/>
      <c r="AN32" s="283"/>
      <c r="AO32" s="283"/>
      <c r="AP32" s="283"/>
    </row>
    <row r="33" spans="1:42" s="14420" customFormat="1" ht="18.75" hidden="1" customHeight="1">
      <c r="A33" s="1245"/>
      <c r="B33" s="1245"/>
      <c r="C33" s="1245"/>
      <c r="D33" s="1245"/>
      <c r="E33" s="1245"/>
      <c r="F33" s="1245"/>
      <c r="G33" s="1245"/>
      <c r="H33" s="1245"/>
      <c r="I33" s="1245"/>
      <c r="J33" s="1245"/>
      <c r="K33" s="1245"/>
      <c r="L33" s="1246"/>
      <c r="M33" s="1245"/>
      <c r="N33" s="1245"/>
      <c r="O33" s="1245"/>
      <c r="S33" s="16116" t="s">
        <v>561</v>
      </c>
      <c r="T33" s="16116"/>
      <c r="U33" s="1249"/>
      <c r="V33" s="16117" t="str">
        <f>IF(TITLE_NUMBER_PR_CHANGE="",IF(TITLE_NUMBER_PR="","",TITLE_NUMBER_PR),TITLE_NUMBER_PR_CHANGE)</f>
        <v>8/6</v>
      </c>
      <c r="W33" s="16117"/>
      <c r="X33" s="16117"/>
      <c r="Y33" s="16117"/>
      <c r="Z33" s="16117"/>
      <c r="AA33" s="16117"/>
      <c r="AB33" s="243"/>
      <c r="AC33" s="16117" t="str">
        <f>IF(TITLE_NUMBER_PR_CHANGE="",IF(TITLE_NUMBER_PR="","",TITLE_NUMBER_PR),TITLE_NUMBER_PR_CHANGE)</f>
        <v>8/6</v>
      </c>
      <c r="AD33" s="16117"/>
      <c r="AE33" s="16117"/>
      <c r="AF33" s="16117"/>
      <c r="AG33" s="16117"/>
      <c r="AH33" s="16117"/>
      <c r="AI33" s="243"/>
      <c r="AJ33" s="243"/>
      <c r="AK33" s="198"/>
      <c r="AL33" s="283"/>
      <c r="AM33" s="283"/>
      <c r="AN33" s="283"/>
      <c r="AO33" s="283"/>
      <c r="AP33" s="283"/>
    </row>
    <row r="34" spans="1:42" s="14420"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243"/>
      <c r="X34" s="243"/>
      <c r="Y34" s="243"/>
      <c r="Z34" s="243"/>
      <c r="AA34" s="243"/>
      <c r="AB34" s="196" t="s">
        <v>562</v>
      </c>
      <c r="AC34" s="243"/>
      <c r="AD34" s="243"/>
      <c r="AE34" s="243"/>
      <c r="AF34" s="243"/>
      <c r="AG34" s="243"/>
      <c r="AH34" s="243"/>
      <c r="AI34" s="196" t="s">
        <v>562</v>
      </c>
      <c r="AL34" s="283"/>
      <c r="AM34" s="283"/>
      <c r="AN34" s="283"/>
      <c r="AO34" s="283"/>
      <c r="AP34" s="283"/>
    </row>
    <row r="35" spans="1:42" ht="14.25" customHeight="1">
      <c r="Q35" s="291"/>
      <c r="R35" s="291"/>
      <c r="S35" s="1157"/>
      <c r="T35" s="279"/>
      <c r="U35" s="1126"/>
      <c r="V35" s="16118"/>
      <c r="W35" s="16118"/>
      <c r="X35" s="16118"/>
      <c r="Y35" s="16118"/>
      <c r="Z35" s="16118"/>
      <c r="AA35" s="16118"/>
      <c r="AB35" s="16118"/>
      <c r="AC35" s="16118"/>
      <c r="AD35" s="16118"/>
      <c r="AE35" s="16118"/>
      <c r="AF35" s="16118"/>
      <c r="AG35" s="16118"/>
      <c r="AH35" s="16118"/>
      <c r="AI35" s="16118"/>
    </row>
    <row r="36" spans="1:42" ht="14.25" customHeight="1">
      <c r="Q36" s="291"/>
      <c r="R36" s="291"/>
      <c r="S36" s="15992" t="s">
        <v>437</v>
      </c>
      <c r="T36" s="15992"/>
      <c r="U36" s="15992"/>
      <c r="V36" s="15992"/>
      <c r="W36" s="15992"/>
      <c r="X36" s="15992"/>
      <c r="Y36" s="15992"/>
      <c r="Z36" s="15992"/>
      <c r="AA36" s="15992"/>
      <c r="AB36" s="15992"/>
      <c r="AC36" s="15992"/>
      <c r="AD36" s="15992"/>
      <c r="AE36" s="15992"/>
      <c r="AF36" s="15992"/>
      <c r="AG36" s="15992"/>
      <c r="AH36" s="15992"/>
      <c r="AI36" s="15992"/>
      <c r="AJ36" s="15992"/>
      <c r="AK36" s="15992" t="s">
        <v>438</v>
      </c>
    </row>
    <row r="37" spans="1:42" ht="14.25" customHeight="1">
      <c r="Q37" s="291"/>
      <c r="R37" s="291"/>
      <c r="S37" s="16132" t="s">
        <v>87</v>
      </c>
      <c r="T37" s="16084" t="s">
        <v>563</v>
      </c>
      <c r="U37" s="218"/>
      <c r="V37" s="16133" t="s">
        <v>564</v>
      </c>
      <c r="W37" s="16134"/>
      <c r="X37" s="16134"/>
      <c r="Y37" s="16134"/>
      <c r="Z37" s="16134"/>
      <c r="AA37" s="16135"/>
      <c r="AB37" s="16136" t="s">
        <v>565</v>
      </c>
      <c r="AC37" s="16133" t="s">
        <v>564</v>
      </c>
      <c r="AD37" s="16134"/>
      <c r="AE37" s="16134"/>
      <c r="AF37" s="16134"/>
      <c r="AG37" s="16134"/>
      <c r="AH37" s="16135"/>
      <c r="AI37" s="16136" t="s">
        <v>566</v>
      </c>
      <c r="AJ37" s="16139" t="s">
        <v>567</v>
      </c>
      <c r="AK37" s="15992"/>
    </row>
    <row r="38" spans="1:42" ht="33.75" customHeight="1">
      <c r="Q38" s="291"/>
      <c r="R38" s="291"/>
      <c r="S38" s="16132"/>
      <c r="T38" s="16084"/>
      <c r="U38" s="919"/>
      <c r="V38" s="1354" t="s">
        <v>624</v>
      </c>
      <c r="W38" s="15963" t="s">
        <v>570</v>
      </c>
      <c r="X38" s="15962"/>
      <c r="Y38" s="15963" t="s">
        <v>571</v>
      </c>
      <c r="Z38" s="15968"/>
      <c r="AA38" s="15962"/>
      <c r="AB38" s="16137"/>
      <c r="AC38" s="1354" t="s">
        <v>624</v>
      </c>
      <c r="AD38" s="15963" t="s">
        <v>570</v>
      </c>
      <c r="AE38" s="15962"/>
      <c r="AF38" s="15963" t="s">
        <v>571</v>
      </c>
      <c r="AG38" s="15968"/>
      <c r="AH38" s="15962"/>
      <c r="AI38" s="16137"/>
      <c r="AJ38" s="16140"/>
      <c r="AK38" s="15992"/>
    </row>
    <row r="39" spans="1:42" ht="86.25" customHeight="1">
      <c r="A39" s="1247"/>
      <c r="B39" s="1247" t="s">
        <v>170</v>
      </c>
      <c r="C39" s="1247" t="s">
        <v>171</v>
      </c>
      <c r="D39" s="1247" t="s">
        <v>172</v>
      </c>
      <c r="E39" s="1241" t="s">
        <v>572</v>
      </c>
      <c r="F39" s="1241" t="s">
        <v>573</v>
      </c>
      <c r="G39" s="1241" t="s">
        <v>574</v>
      </c>
      <c r="H39" s="1241"/>
      <c r="I39" s="1241" t="s">
        <v>625</v>
      </c>
      <c r="J39" s="1241" t="s">
        <v>577</v>
      </c>
      <c r="K39" s="1241" t="s">
        <v>626</v>
      </c>
      <c r="L39" s="1241" t="s">
        <v>553</v>
      </c>
      <c r="Q39" s="291"/>
      <c r="R39" s="291"/>
      <c r="S39" s="16132"/>
      <c r="T39" s="16084"/>
      <c r="U39" s="219"/>
      <c r="V39" s="1354" t="s">
        <v>653</v>
      </c>
      <c r="W39" s="1104" t="s">
        <v>654</v>
      </c>
      <c r="X39" s="1104" t="s">
        <v>629</v>
      </c>
      <c r="Y39" s="1360" t="s">
        <v>581</v>
      </c>
      <c r="Z39" s="16092" t="s">
        <v>582</v>
      </c>
      <c r="AA39" s="16094"/>
      <c r="AB39" s="16138"/>
      <c r="AC39" s="1354" t="s">
        <v>653</v>
      </c>
      <c r="AD39" s="1104" t="s">
        <v>654</v>
      </c>
      <c r="AE39" s="1104" t="s">
        <v>629</v>
      </c>
      <c r="AF39" s="1360" t="s">
        <v>581</v>
      </c>
      <c r="AG39" s="16092" t="s">
        <v>582</v>
      </c>
      <c r="AH39" s="16094"/>
      <c r="AI39" s="16138"/>
      <c r="AJ39" s="16141"/>
      <c r="AK39" s="15992"/>
    </row>
    <row r="40" spans="1:42" s="14405" customFormat="1" ht="11.25"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147</v>
      </c>
      <c r="T40" s="1137" t="s">
        <v>102</v>
      </c>
      <c r="U40" s="1127" t="str">
        <f ca="1">OFFSET(U40,0,-1)</f>
        <v>2</v>
      </c>
      <c r="V40" s="1353">
        <f ca="1">OFFSET(V40,0,-1)+1</f>
        <v>3</v>
      </c>
      <c r="W40" s="1353">
        <f ca="1">OFFSET(W40,0,-1)+1</f>
        <v>4</v>
      </c>
      <c r="X40" s="1353">
        <f ca="1">OFFSET(X40,0,-1)+1</f>
        <v>5</v>
      </c>
      <c r="Y40" s="1353">
        <f ca="1">OFFSET(Y40,0,-1)+1</f>
        <v>6</v>
      </c>
      <c r="Z40" s="16131">
        <f ca="1">OFFSET(Z40,0,-1)+1</f>
        <v>7</v>
      </c>
      <c r="AA40" s="16131"/>
      <c r="AB40" s="1353">
        <f ca="1">OFFSET(AB40,0,-2)+1</f>
        <v>8</v>
      </c>
      <c r="AC40" s="1353">
        <f ca="1">OFFSET(AC40,0,-1)+1</f>
        <v>9</v>
      </c>
      <c r="AD40" s="1353">
        <f ca="1">OFFSET(AD40,0,-1)+1</f>
        <v>10</v>
      </c>
      <c r="AE40" s="1353">
        <f ca="1">OFFSET(AE40,0,-1)+1</f>
        <v>11</v>
      </c>
      <c r="AF40" s="1353">
        <f ca="1">OFFSET(AF40,0,-1)+1</f>
        <v>12</v>
      </c>
      <c r="AG40" s="16131">
        <f ca="1">OFFSET(AG40,0,-1)+1</f>
        <v>13</v>
      </c>
      <c r="AH40" s="16131"/>
      <c r="AI40" s="1353">
        <f ca="1">OFFSET(AI40,0,-2)+1</f>
        <v>14</v>
      </c>
      <c r="AJ40" s="1127">
        <f ca="1">OFFSET(AJ40,0,-1)</f>
        <v>14</v>
      </c>
      <c r="AK40" s="1353">
        <f ca="1">OFFSET(AK40,0,-1)+1</f>
        <v>15</v>
      </c>
      <c r="AL40" s="418"/>
      <c r="AM40" s="418"/>
      <c r="AN40" s="418"/>
      <c r="AO40" s="418"/>
      <c r="AP40" s="418"/>
    </row>
    <row r="41" spans="1:42" ht="23.25" customHeight="1">
      <c r="A41" s="1240" t="s">
        <v>403</v>
      </c>
      <c r="B41" s="1240"/>
      <c r="C41" s="1240"/>
      <c r="D41" s="1240"/>
      <c r="E41" s="16124">
        <v>1</v>
      </c>
      <c r="F41" s="1240"/>
      <c r="G41" s="1240"/>
      <c r="H41" s="1240"/>
      <c r="I41" s="1240"/>
      <c r="J41" s="1240"/>
      <c r="K41" s="1240"/>
      <c r="L41" s="1241"/>
      <c r="M41" s="1242"/>
      <c r="N41" s="1242"/>
      <c r="O41" s="1242"/>
      <c r="P41" s="277"/>
      <c r="Q41" s="276"/>
      <c r="R41" s="271"/>
      <c r="S41" s="1364">
        <f>INDEX(PT_DIFFERENTIATION_NUM_NTAR,MATCH(A41,PT_DIFFERENTIATION_NTAR_ID,0))</f>
        <v>0</v>
      </c>
      <c r="T41" s="215" t="s">
        <v>158</v>
      </c>
      <c r="U41" s="217"/>
      <c r="V41" s="16110"/>
      <c r="W41" s="16111"/>
      <c r="X41" s="16111"/>
      <c r="Y41" s="16111"/>
      <c r="Z41" s="16111"/>
      <c r="AA41" s="16111"/>
      <c r="AB41" s="16112"/>
      <c r="AC41" s="16110" t="str">
        <f>INDEX(PT_DIFFERENTIATION_NTAR,MATCH(A41,PT_DIFFERENTIATION_NTAR_ID,0))</f>
        <v/>
      </c>
      <c r="AD41" s="16111"/>
      <c r="AE41" s="16111"/>
      <c r="AF41" s="16111"/>
      <c r="AG41" s="16111"/>
      <c r="AH41" s="16111"/>
      <c r="AI41" s="16111"/>
      <c r="AJ41" s="16112"/>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403</v>
      </c>
      <c r="B42" s="1240" t="s">
        <v>404</v>
      </c>
      <c r="C42" s="1240"/>
      <c r="D42" s="1240"/>
      <c r="E42" s="16125"/>
      <c r="F42" s="16124">
        <v>1</v>
      </c>
      <c r="G42" s="1240"/>
      <c r="H42" s="1240"/>
      <c r="I42" s="1240"/>
      <c r="J42" s="1240"/>
      <c r="K42" s="1240"/>
      <c r="L42" s="1241"/>
      <c r="M42" s="1242"/>
      <c r="N42" s="1242"/>
      <c r="O42" s="1242"/>
      <c r="P42" s="1358"/>
      <c r="Q42" s="268"/>
      <c r="R42" s="269"/>
      <c r="S42" s="1364" t="str">
        <f>INDEX(PT_DIFFERENTIATION_NUM_TER,MATCH(B42,PT_DIFFERENTIATION_TER_ID,0))</f>
        <v>.</v>
      </c>
      <c r="T42" s="225" t="s">
        <v>534</v>
      </c>
      <c r="U42" s="217"/>
      <c r="V42" s="16110"/>
      <c r="W42" s="16111"/>
      <c r="X42" s="16111"/>
      <c r="Y42" s="16111"/>
      <c r="Z42" s="16111"/>
      <c r="AA42" s="16111"/>
      <c r="AB42" s="16112"/>
      <c r="AC42" s="16110" t="str">
        <f>INDEX(PT_DIFFERENTIATION_TER,MATCH(B42,PT_DIFFERENTIATION_TER_ID,0))</f>
        <v/>
      </c>
      <c r="AD42" s="16111"/>
      <c r="AE42" s="16111"/>
      <c r="AF42" s="16111"/>
      <c r="AG42" s="16111"/>
      <c r="AH42" s="16111"/>
      <c r="AI42" s="16111"/>
      <c r="AJ42" s="16112"/>
      <c r="AK42" s="1140" t="s">
        <v>535</v>
      </c>
      <c r="AM42" s="407"/>
      <c r="AN42" s="407" t="str">
        <f t="shared" si="1"/>
        <v>Территория действия тарифа</v>
      </c>
      <c r="AO42" s="407"/>
      <c r="AP42" s="407"/>
    </row>
    <row r="43" spans="1:42" ht="23.25" customHeight="1">
      <c r="A43" s="1240" t="s">
        <v>403</v>
      </c>
      <c r="B43" s="1240" t="s">
        <v>404</v>
      </c>
      <c r="C43" s="1240" t="s">
        <v>405</v>
      </c>
      <c r="D43" s="1240"/>
      <c r="E43" s="16125"/>
      <c r="F43" s="16125"/>
      <c r="G43" s="16124">
        <v>1</v>
      </c>
      <c r="H43" s="1240"/>
      <c r="I43" s="1240"/>
      <c r="J43" s="1240"/>
      <c r="K43" s="1240"/>
      <c r="L43" s="1241"/>
      <c r="M43" s="1242"/>
      <c r="N43" s="1242"/>
      <c r="O43" s="1242"/>
      <c r="P43" s="270"/>
      <c r="Q43" s="268"/>
      <c r="R43" s="269"/>
      <c r="S43" s="1364" t="str">
        <f>INDEX(PT_DIFFERENTIATION_NUM_CS,MATCH(C43,PT_DIFFERENTIATION_CS_ID,0))</f>
        <v>..</v>
      </c>
      <c r="T43" s="226" t="s">
        <v>651</v>
      </c>
      <c r="U43" s="217"/>
      <c r="V43" s="16110"/>
      <c r="W43" s="16111"/>
      <c r="X43" s="16111"/>
      <c r="Y43" s="16111"/>
      <c r="Z43" s="16111"/>
      <c r="AA43" s="16111"/>
      <c r="AB43" s="16112"/>
      <c r="AC43" s="16110" t="str">
        <f>INDEX(PT_DIFFERENTIATION_CS,MATCH(C43,PT_DIFFERENTIATION_CS_ID,0))</f>
        <v/>
      </c>
      <c r="AD43" s="16111"/>
      <c r="AE43" s="16111"/>
      <c r="AF43" s="16111"/>
      <c r="AG43" s="16111"/>
      <c r="AH43" s="16111"/>
      <c r="AI43" s="16111"/>
      <c r="AJ43" s="16112"/>
      <c r="AK43" s="1140" t="s">
        <v>652</v>
      </c>
      <c r="AM43" s="407"/>
      <c r="AN43" s="407" t="str">
        <f t="shared" si="1"/>
        <v>Наименование централизованной системы водоотведения</v>
      </c>
      <c r="AO43" s="407"/>
      <c r="AP43" s="407"/>
    </row>
    <row r="44" spans="1:42" ht="23.25" customHeight="1">
      <c r="A44" s="1240" t="s">
        <v>403</v>
      </c>
      <c r="B44" s="1240" t="s">
        <v>404</v>
      </c>
      <c r="C44" s="1240" t="s">
        <v>405</v>
      </c>
      <c r="D44" s="1240" t="s">
        <v>655</v>
      </c>
      <c r="E44" s="16125"/>
      <c r="F44" s="16125"/>
      <c r="G44" s="16125"/>
      <c r="H44" s="16125"/>
      <c r="I44" s="16122" t="str">
        <f>S43&amp;".1"</f>
        <v>...1</v>
      </c>
      <c r="J44" s="1240"/>
      <c r="K44" s="1240"/>
      <c r="L44" s="1241"/>
      <c r="P44" s="16123">
        <v>1</v>
      </c>
      <c r="Q44" s="1352"/>
      <c r="R44" s="272"/>
      <c r="S44" s="1364" t="str">
        <f>$I44</f>
        <v>...1</v>
      </c>
      <c r="T44" s="202" t="s">
        <v>618</v>
      </c>
      <c r="U44" s="217"/>
      <c r="V44" s="16183"/>
      <c r="W44" s="16184"/>
      <c r="X44" s="16184"/>
      <c r="Y44" s="16184"/>
      <c r="Z44" s="16184"/>
      <c r="AA44" s="16184"/>
      <c r="AB44" s="16185"/>
      <c r="AC44" s="16186"/>
      <c r="AD44" s="16187"/>
      <c r="AE44" s="16187"/>
      <c r="AF44" s="16187"/>
      <c r="AG44" s="16187"/>
      <c r="AH44" s="16187"/>
      <c r="AI44" s="16187"/>
      <c r="AJ44" s="16188"/>
      <c r="AK44" s="1140" t="s">
        <v>619</v>
      </c>
      <c r="AM44" s="407"/>
      <c r="AN44" s="407" t="str">
        <f t="shared" si="1"/>
        <v>Наименование признака дифференциации</v>
      </c>
      <c r="AO44" s="407"/>
      <c r="AP44" s="407"/>
    </row>
    <row r="45" spans="1:42" ht="23.25" customHeight="1">
      <c r="A45" s="1240" t="s">
        <v>403</v>
      </c>
      <c r="B45" s="1240" t="s">
        <v>404</v>
      </c>
      <c r="C45" s="1240" t="s">
        <v>405</v>
      </c>
      <c r="D45" s="1240" t="s">
        <v>655</v>
      </c>
      <c r="E45" s="16125"/>
      <c r="F45" s="16125"/>
      <c r="G45" s="16125"/>
      <c r="H45" s="16125"/>
      <c r="I45" s="16145"/>
      <c r="J45" s="16122" t="str">
        <f>I44&amp;".1"</f>
        <v>...1.1</v>
      </c>
      <c r="K45" s="1240"/>
      <c r="L45" s="1241" t="s">
        <v>543</v>
      </c>
      <c r="P45" s="16123"/>
      <c r="Q45" s="16123">
        <v>1</v>
      </c>
      <c r="R45" s="273"/>
      <c r="S45" s="1364" t="str">
        <f>$J45</f>
        <v>...1.1</v>
      </c>
      <c r="T45" s="203" t="s">
        <v>544</v>
      </c>
      <c r="U45" s="217"/>
      <c r="V45" s="16113"/>
      <c r="W45" s="16114"/>
      <c r="X45" s="16114"/>
      <c r="Y45" s="16114"/>
      <c r="Z45" s="16114"/>
      <c r="AA45" s="16114"/>
      <c r="AB45" s="16115"/>
      <c r="AC45" s="16113"/>
      <c r="AD45" s="16114"/>
      <c r="AE45" s="16114"/>
      <c r="AF45" s="16114"/>
      <c r="AG45" s="16114"/>
      <c r="AH45" s="16114"/>
      <c r="AI45" s="16114"/>
      <c r="AJ45" s="16115"/>
      <c r="AK45" s="1187" t="s">
        <v>620</v>
      </c>
      <c r="AM45" s="407"/>
      <c r="AN45" s="407" t="str">
        <f t="shared" si="1"/>
        <v>Группа потребителей</v>
      </c>
      <c r="AO45" s="407"/>
      <c r="AP45" s="407"/>
    </row>
    <row r="46" spans="1:42" ht="23.25" customHeight="1">
      <c r="A46" s="1240" t="s">
        <v>403</v>
      </c>
      <c r="B46" s="1240" t="s">
        <v>404</v>
      </c>
      <c r="C46" s="1240" t="s">
        <v>405</v>
      </c>
      <c r="D46" s="1240" t="s">
        <v>655</v>
      </c>
      <c r="E46" s="16125"/>
      <c r="F46" s="16125"/>
      <c r="G46" s="16125"/>
      <c r="H46" s="16125"/>
      <c r="I46" s="16145"/>
      <c r="J46" s="16145"/>
      <c r="K46" s="16122" t="str">
        <f>J45&amp;".1"</f>
        <v>...1.1.1</v>
      </c>
      <c r="L46" s="1241"/>
      <c r="P46" s="16123"/>
      <c r="Q46" s="16123"/>
      <c r="R46" s="273">
        <v>1</v>
      </c>
      <c r="S46" s="1364" t="str">
        <f>$K46</f>
        <v>...1.1.1</v>
      </c>
      <c r="T46" s="1313"/>
      <c r="U46" s="217"/>
      <c r="V46" s="1237"/>
      <c r="W46" s="1237"/>
      <c r="X46" s="1238"/>
      <c r="Y46" s="16129"/>
      <c r="Z46" s="16130" t="s">
        <v>66</v>
      </c>
      <c r="AA46" s="16129"/>
      <c r="AB46" s="16130" t="s">
        <v>66</v>
      </c>
      <c r="AC46" s="649"/>
      <c r="AD46" s="649"/>
      <c r="AE46" s="1139"/>
      <c r="AF46" s="16127"/>
      <c r="AG46" s="15973" t="s">
        <v>66</v>
      </c>
      <c r="AH46" s="16146"/>
      <c r="AI46" s="15973" t="s">
        <v>56</v>
      </c>
      <c r="AJ46" s="1314"/>
      <c r="AK46"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403</v>
      </c>
      <c r="B47" s="1240" t="s">
        <v>404</v>
      </c>
      <c r="C47" s="1240" t="s">
        <v>405</v>
      </c>
      <c r="D47" s="1240" t="s">
        <v>655</v>
      </c>
      <c r="E47" s="16125"/>
      <c r="F47" s="16125"/>
      <c r="G47" s="16125"/>
      <c r="H47" s="16125"/>
      <c r="I47" s="16145"/>
      <c r="J47" s="16145"/>
      <c r="K47" s="16122"/>
      <c r="L47" s="1241"/>
      <c r="P47" s="16123"/>
      <c r="Q47" s="16123"/>
      <c r="R47" s="273"/>
      <c r="S47" s="1361"/>
      <c r="T47" s="217"/>
      <c r="U47" s="217"/>
      <c r="V47" s="1237"/>
      <c r="W47" s="1237"/>
      <c r="X47" s="245" t="str">
        <f>Y46&amp;"-"&amp;AA46</f>
        <v>-</v>
      </c>
      <c r="Y47" s="16130"/>
      <c r="Z47" s="16130"/>
      <c r="AA47" s="16130"/>
      <c r="AB47" s="16130"/>
      <c r="AC47" s="242"/>
      <c r="AD47" s="242"/>
      <c r="AE47" s="245" t="str">
        <f>AF46&amp;"-"&amp;AH46</f>
        <v>-</v>
      </c>
      <c r="AF47" s="16128"/>
      <c r="AG47" s="15973"/>
      <c r="AH47" s="16147"/>
      <c r="AI47" s="15973"/>
      <c r="AJ47" s="1315"/>
      <c r="AK47" s="16182"/>
      <c r="AM47" s="407"/>
      <c r="AN47" s="407" t="str">
        <f t="shared" si="1"/>
        <v/>
      </c>
      <c r="AO47" s="407"/>
      <c r="AP47" s="407"/>
    </row>
    <row r="48" spans="1:42" ht="21" customHeight="1">
      <c r="A48" s="1240" t="s">
        <v>403</v>
      </c>
      <c r="B48" s="1240" t="s">
        <v>404</v>
      </c>
      <c r="C48" s="1240" t="s">
        <v>405</v>
      </c>
      <c r="D48" s="1240" t="s">
        <v>655</v>
      </c>
      <c r="E48" s="16125"/>
      <c r="F48" s="16125"/>
      <c r="G48" s="16125"/>
      <c r="H48" s="16125"/>
      <c r="I48" s="16145"/>
      <c r="J48" s="16122"/>
      <c r="K48" s="1240"/>
      <c r="L48" s="1241"/>
      <c r="P48" s="16123"/>
      <c r="Q48" s="16123"/>
      <c r="R48" s="272"/>
      <c r="S48" s="1160"/>
      <c r="T48" s="204" t="s">
        <v>621</v>
      </c>
      <c r="U48" s="282"/>
      <c r="V48" s="282"/>
      <c r="W48" s="282"/>
      <c r="X48" s="282"/>
      <c r="Y48" s="282"/>
      <c r="Z48" s="282"/>
      <c r="AA48" s="282"/>
      <c r="AB48" s="282"/>
      <c r="AC48" s="282"/>
      <c r="AD48" s="282"/>
      <c r="AE48" s="282"/>
      <c r="AF48" s="282"/>
      <c r="AG48" s="282"/>
      <c r="AH48" s="282"/>
      <c r="AI48" s="282"/>
      <c r="AJ48" s="282"/>
      <c r="AK48" s="1140" t="s">
        <v>622</v>
      </c>
      <c r="AM48" s="407"/>
      <c r="AN48" s="407" t="str">
        <f t="shared" si="1"/>
        <v>Добавить значение признака дифференциации</v>
      </c>
      <c r="AO48" s="407"/>
      <c r="AP48" s="407"/>
    </row>
    <row r="49" spans="1:42" ht="21" customHeight="1">
      <c r="A49" s="1240" t="s">
        <v>403</v>
      </c>
      <c r="B49" s="1240" t="s">
        <v>404</v>
      </c>
      <c r="C49" s="1240" t="s">
        <v>405</v>
      </c>
      <c r="D49" s="1240" t="s">
        <v>655</v>
      </c>
      <c r="E49" s="16125"/>
      <c r="F49" s="16125"/>
      <c r="G49" s="16125"/>
      <c r="H49" s="16125"/>
      <c r="I49" s="16122"/>
      <c r="J49" s="1240"/>
      <c r="K49" s="1240"/>
      <c r="L49" s="1241"/>
      <c r="P49" s="16123"/>
      <c r="Q49" s="1352"/>
      <c r="R49" s="272"/>
      <c r="S49" s="1160"/>
      <c r="T49" s="280" t="s">
        <v>549</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403</v>
      </c>
      <c r="B50" s="1240" t="s">
        <v>404</v>
      </c>
      <c r="C50" s="1240" t="s">
        <v>405</v>
      </c>
      <c r="D50" s="1240" t="s">
        <v>655</v>
      </c>
      <c r="E50" s="16125"/>
      <c r="F50" s="16125"/>
      <c r="G50" s="16125"/>
      <c r="H50" s="16124"/>
      <c r="I50" s="1240"/>
      <c r="J50" s="1240"/>
      <c r="K50" s="1240"/>
      <c r="L50" s="1241"/>
      <c r="M50" s="1242"/>
      <c r="N50" s="1242"/>
      <c r="O50" s="443"/>
      <c r="P50" s="276"/>
      <c r="Q50" s="290"/>
      <c r="R50" s="271"/>
      <c r="S50" s="1160"/>
      <c r="T50" s="287" t="s">
        <v>623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4418" customFormat="1" ht="0" hidden="1" customHeight="1">
      <c r="A51" s="1221" t="s">
        <v>403</v>
      </c>
      <c r="B51" s="1221" t="s">
        <v>404</v>
      </c>
      <c r="C51" s="1193"/>
      <c r="D51" s="1193"/>
      <c r="E51" s="16125"/>
      <c r="F51" s="16124"/>
      <c r="G51" s="1193"/>
      <c r="H51" s="1193"/>
      <c r="I51" s="1193"/>
      <c r="J51" s="1193"/>
      <c r="K51" s="1193"/>
      <c r="L51" s="1365"/>
      <c r="M51" s="1200"/>
      <c r="N51" s="1200"/>
      <c r="P51" s="1195"/>
      <c r="Q51" s="1196"/>
      <c r="R51" s="1195"/>
      <c r="S51" s="1201"/>
      <c r="T51" s="1204" t="s">
        <v>290</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4421" customFormat="1" ht="0" hidden="1" customHeight="1">
      <c r="A52" s="1221" t="s">
        <v>403</v>
      </c>
      <c r="B52" s="1221"/>
      <c r="C52" s="1221"/>
      <c r="D52" s="1221"/>
      <c r="E52" s="16124"/>
      <c r="F52" s="1221"/>
      <c r="G52" s="1221"/>
      <c r="H52" s="1221"/>
      <c r="I52" s="1221"/>
      <c r="J52" s="1221"/>
      <c r="K52" s="1221"/>
      <c r="L52" s="1224"/>
      <c r="M52" s="1200"/>
      <c r="N52" s="1200"/>
      <c r="O52" s="425"/>
      <c r="P52" s="295"/>
      <c r="Q52" s="1222"/>
      <c r="R52" s="295"/>
      <c r="S52" s="1201"/>
      <c r="T52" s="1204" t="s">
        <v>326</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4418" customFormat="1" ht="0" hidden="1" customHeight="1">
      <c r="A53" s="1193"/>
      <c r="B53" s="1193"/>
      <c r="C53" s="1193"/>
      <c r="D53" s="1193"/>
      <c r="E53" s="1221"/>
      <c r="F53" s="1193"/>
      <c r="G53" s="1193"/>
      <c r="H53" s="1193"/>
      <c r="I53" s="1193"/>
      <c r="J53" s="1193"/>
      <c r="K53" s="1193"/>
      <c r="L53" s="1365"/>
      <c r="M53" s="1200"/>
      <c r="N53" s="1200"/>
      <c r="P53" s="1195"/>
      <c r="Q53" s="1196"/>
      <c r="R53" s="1195"/>
      <c r="S53" s="1201"/>
      <c r="T53" s="1204" t="s">
        <v>390</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16144"/>
      <c r="U55" s="16144"/>
      <c r="V55" s="16144"/>
      <c r="W55" s="16144"/>
      <c r="X55" s="16144"/>
      <c r="Y55" s="16144"/>
      <c r="Z55" s="16144"/>
      <c r="AA55" s="16144"/>
      <c r="AB55" s="16144"/>
      <c r="AC55" s="16144"/>
      <c r="AD55" s="16144"/>
      <c r="AE55" s="16144"/>
      <c r="AF55" s="16144"/>
      <c r="AG55" s="16144"/>
      <c r="AH55" s="16144"/>
      <c r="AI55" s="16144"/>
      <c r="AJ55" s="16144"/>
      <c r="AK55" s="16144"/>
    </row>
    <row r="56" spans="1:42" ht="14.25" customHeight="1">
      <c r="O56" s="443"/>
    </row>
    <row r="57" spans="1:42" ht="14.25" customHeight="1">
      <c r="O57" s="443"/>
      <c r="S57" s="1135"/>
      <c r="T57" s="16144"/>
      <c r="U57" s="16144"/>
      <c r="V57" s="16144"/>
      <c r="W57" s="16144"/>
      <c r="X57" s="16144"/>
      <c r="Y57" s="16144"/>
      <c r="Z57" s="16144"/>
      <c r="AA57" s="16144"/>
      <c r="AB57" s="16144"/>
      <c r="AC57" s="16144"/>
      <c r="AD57" s="16144"/>
      <c r="AE57" s="16144"/>
      <c r="AF57" s="16144"/>
      <c r="AG57" s="16144"/>
      <c r="AH57" s="16144"/>
      <c r="AI57" s="16144"/>
      <c r="AJ57" s="16144"/>
      <c r="AK57" s="1614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4.140625" style="14419" hidden="1" customWidth="1"/>
    <col min="10" max="10" width="9.85546875" style="14419" hidden="1" customWidth="1"/>
    <col min="11" max="11" width="14.7109375" style="14419" hidden="1" customWidth="1"/>
    <col min="12" max="12" width="19.140625" style="14445" hidden="1" customWidth="1"/>
    <col min="13" max="14" width="12.28515625" style="14423" hidden="1" customWidth="1"/>
    <col min="15" max="15" width="23.42578125" style="14423" hidden="1" customWidth="1"/>
    <col min="16" max="16" width="3.7109375" style="14446" customWidth="1"/>
    <col min="17" max="18" width="3.7109375" style="14425" customWidth="1"/>
    <col min="19" max="19" width="12.7109375" style="14426" customWidth="1"/>
    <col min="20" max="20" width="35.7109375" style="14427" customWidth="1"/>
    <col min="21" max="21" width="0.140625" style="14427" customWidth="1"/>
    <col min="22" max="24" width="24.7109375" style="14427" hidden="1" customWidth="1"/>
    <col min="25" max="25" width="11.7109375" style="14427" hidden="1" customWidth="1"/>
    <col min="26" max="26" width="3.7109375" style="14427" hidden="1" customWidth="1"/>
    <col min="27" max="27" width="11.7109375" style="14427" hidden="1" customWidth="1"/>
    <col min="28" max="28" width="8.5703125" style="14427" hidden="1" customWidth="1"/>
    <col min="29" max="31" width="24.7109375" style="14427" customWidth="1"/>
    <col min="32" max="32" width="11.7109375" style="14427" customWidth="1"/>
    <col min="33" max="33" width="3.7109375" style="14427" customWidth="1"/>
    <col min="34" max="34" width="11.7109375" style="14427" customWidth="1"/>
    <col min="35" max="35" width="8.5703125" style="14427" hidden="1" customWidth="1"/>
    <col min="36" max="36" width="4.7109375" style="14427" customWidth="1"/>
    <col min="37" max="37" width="115.7109375" style="14427" customWidth="1"/>
    <col min="38" max="39" width="10.5703125" style="14421"/>
    <col min="40" max="40" width="11.140625" style="14421" customWidth="1"/>
    <col min="41" max="42" width="10.5703125" style="14421"/>
  </cols>
  <sheetData>
    <row r="1" spans="1:42" ht="14.25" hidden="1" customHeight="1">
      <c r="X1" s="244"/>
      <c r="Y1" s="244"/>
      <c r="AE1" s="244"/>
      <c r="AF1" s="244"/>
    </row>
    <row r="2" spans="1:42" ht="23.25" hidden="1" customHeight="1">
      <c r="A2" s="1240"/>
      <c r="B2" s="1240"/>
      <c r="C2" s="1240"/>
      <c r="D2" s="1240"/>
      <c r="E2" s="16124">
        <v>1</v>
      </c>
      <c r="F2" s="1240"/>
      <c r="G2" s="1240"/>
      <c r="H2" s="1240"/>
      <c r="I2" s="1240"/>
      <c r="J2" s="1240"/>
      <c r="K2" s="1240"/>
      <c r="L2" s="1241"/>
      <c r="M2" s="1242"/>
      <c r="N2" s="1242"/>
      <c r="O2" s="1242"/>
      <c r="P2" s="277"/>
      <c r="Q2" s="276"/>
      <c r="R2" s="271"/>
      <c r="S2" s="1364" t="e">
        <f>INDEX(PT_DIFFERENTIATION_NUM_NTAR,MATCH(A2,PT_DIFFERENTIATION_NTAR_ID,0))</f>
        <v>#N/A</v>
      </c>
      <c r="T2" s="215" t="s">
        <v>158</v>
      </c>
      <c r="U2" s="217"/>
      <c r="V2" s="16110"/>
      <c r="W2" s="16111"/>
      <c r="X2" s="16111"/>
      <c r="Y2" s="16111"/>
      <c r="Z2" s="16111"/>
      <c r="AA2" s="16111"/>
      <c r="AB2" s="16112"/>
      <c r="AC2" s="16110" t="e">
        <f>INDEX(PT_DIFFERENTIATION_NTAR,MATCH(A2,PT_DIFFERENTIATION_NTAR_ID,0))</f>
        <v>#N/A</v>
      </c>
      <c r="AD2" s="16111"/>
      <c r="AE2" s="16111"/>
      <c r="AF2" s="16111"/>
      <c r="AG2" s="16111"/>
      <c r="AH2" s="16111"/>
      <c r="AI2" s="16111"/>
      <c r="AJ2" s="16112"/>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0"/>
      <c r="B3" s="1240"/>
      <c r="C3" s="1240"/>
      <c r="D3" s="1240"/>
      <c r="E3" s="16125"/>
      <c r="F3" s="16124">
        <v>1</v>
      </c>
      <c r="G3" s="1240"/>
      <c r="H3" s="1240"/>
      <c r="I3" s="1240"/>
      <c r="J3" s="1240"/>
      <c r="K3" s="1240"/>
      <c r="L3" s="1241"/>
      <c r="M3" s="1242"/>
      <c r="N3" s="1242"/>
      <c r="O3" s="1242"/>
      <c r="P3" s="1358"/>
      <c r="Q3" s="268"/>
      <c r="R3" s="269"/>
      <c r="S3" s="1364" t="e">
        <f>INDEX(PT_DIFFERENTIATION_NUM_TER,MATCH(B3,PT_DIFFERENTIATION_TER_ID,0))</f>
        <v>#N/A</v>
      </c>
      <c r="T3" s="225" t="s">
        <v>534</v>
      </c>
      <c r="U3" s="217"/>
      <c r="V3" s="16110"/>
      <c r="W3" s="16111"/>
      <c r="X3" s="16111"/>
      <c r="Y3" s="16111"/>
      <c r="Z3" s="16111"/>
      <c r="AA3" s="16111"/>
      <c r="AB3" s="16112"/>
      <c r="AC3" s="16110" t="e">
        <f>INDEX(PT_DIFFERENTIATION_TER,MATCH(B3,PT_DIFFERENTIATION_TER_ID,0))</f>
        <v>#N/A</v>
      </c>
      <c r="AD3" s="16111"/>
      <c r="AE3" s="16111"/>
      <c r="AF3" s="16111"/>
      <c r="AG3" s="16111"/>
      <c r="AH3" s="16111"/>
      <c r="AI3" s="16111"/>
      <c r="AJ3" s="16112"/>
      <c r="AK3" s="1140" t="s">
        <v>535</v>
      </c>
      <c r="AM3" s="407"/>
      <c r="AN3" s="407" t="str">
        <f t="shared" si="0"/>
        <v>Территория действия тарифа</v>
      </c>
      <c r="AO3" s="407"/>
      <c r="AP3" s="407"/>
    </row>
    <row r="4" spans="1:42" ht="23.25" hidden="1" customHeight="1">
      <c r="A4" s="1240"/>
      <c r="B4" s="1240"/>
      <c r="C4" s="1240"/>
      <c r="D4" s="1240"/>
      <c r="E4" s="16125"/>
      <c r="F4" s="16125"/>
      <c r="G4" s="16124">
        <v>1</v>
      </c>
      <c r="H4" s="1240"/>
      <c r="I4" s="1240"/>
      <c r="J4" s="1240"/>
      <c r="K4" s="1240"/>
      <c r="L4" s="1241"/>
      <c r="M4" s="1242"/>
      <c r="N4" s="1242"/>
      <c r="O4" s="1242"/>
      <c r="P4" s="270"/>
      <c r="Q4" s="268"/>
      <c r="R4" s="269"/>
      <c r="S4" s="1364" t="e">
        <f>INDEX(PT_DIFFERENTIATION_NUM_CS,MATCH(C4,PT_DIFFERENTIATION_CS_ID,0))</f>
        <v>#N/A</v>
      </c>
      <c r="T4" s="226" t="s">
        <v>651</v>
      </c>
      <c r="U4" s="217"/>
      <c r="V4" s="16110"/>
      <c r="W4" s="16111"/>
      <c r="X4" s="16111"/>
      <c r="Y4" s="16111"/>
      <c r="Z4" s="16111"/>
      <c r="AA4" s="16111"/>
      <c r="AB4" s="16112"/>
      <c r="AC4" s="16110" t="e">
        <f>INDEX(PT_DIFFERENTIATION_CS,MATCH(C4,PT_DIFFERENTIATION_CS_ID,0))</f>
        <v>#N/A</v>
      </c>
      <c r="AD4" s="16111"/>
      <c r="AE4" s="16111"/>
      <c r="AF4" s="16111"/>
      <c r="AG4" s="16111"/>
      <c r="AH4" s="16111"/>
      <c r="AI4" s="16111"/>
      <c r="AJ4" s="16112"/>
      <c r="AK4" s="1140" t="s">
        <v>652</v>
      </c>
      <c r="AM4" s="407"/>
      <c r="AN4" s="407" t="str">
        <f t="shared" si="0"/>
        <v>Наименование централизованной системы водоотведения</v>
      </c>
      <c r="AO4" s="407"/>
      <c r="AP4" s="407"/>
    </row>
    <row r="5" spans="1:42" ht="23.25" hidden="1" customHeight="1">
      <c r="A5" s="1240"/>
      <c r="B5" s="1240"/>
      <c r="C5" s="1240"/>
      <c r="D5" s="1240"/>
      <c r="E5" s="16125"/>
      <c r="F5" s="16125"/>
      <c r="G5" s="16125"/>
      <c r="H5" s="16125"/>
      <c r="I5" s="16122" t="e">
        <f>S4&amp;".1"</f>
        <v>#N/A</v>
      </c>
      <c r="J5" s="1240"/>
      <c r="K5" s="1240"/>
      <c r="L5" s="1241"/>
      <c r="P5" s="16123">
        <v>1</v>
      </c>
      <c r="Q5" s="1352"/>
      <c r="R5" s="272"/>
      <c r="S5" s="1364" t="e">
        <f>$I5</f>
        <v>#N/A</v>
      </c>
      <c r="T5" s="202" t="s">
        <v>618</v>
      </c>
      <c r="U5" s="217"/>
      <c r="V5" s="16183"/>
      <c r="W5" s="16184"/>
      <c r="X5" s="16184"/>
      <c r="Y5" s="16184"/>
      <c r="Z5" s="16184"/>
      <c r="AA5" s="16184"/>
      <c r="AB5" s="16185"/>
      <c r="AC5" s="16186"/>
      <c r="AD5" s="16187"/>
      <c r="AE5" s="16187"/>
      <c r="AF5" s="16187"/>
      <c r="AG5" s="16187"/>
      <c r="AH5" s="16187"/>
      <c r="AI5" s="16187"/>
      <c r="AJ5" s="16188"/>
      <c r="AK5" s="1140" t="s">
        <v>619</v>
      </c>
      <c r="AM5" s="407"/>
      <c r="AN5" s="407" t="str">
        <f t="shared" si="0"/>
        <v>Наименование признака дифференциации</v>
      </c>
      <c r="AO5" s="407"/>
      <c r="AP5" s="407"/>
    </row>
    <row r="6" spans="1:42" ht="23.25" hidden="1" customHeight="1">
      <c r="A6" s="1240"/>
      <c r="B6" s="1240"/>
      <c r="C6" s="1240"/>
      <c r="D6" s="1240"/>
      <c r="E6" s="16125"/>
      <c r="F6" s="16125"/>
      <c r="G6" s="16125"/>
      <c r="H6" s="16125"/>
      <c r="I6" s="16145"/>
      <c r="J6" s="16122" t="e">
        <f>I5&amp;".1"</f>
        <v>#N/A</v>
      </c>
      <c r="K6" s="1240"/>
      <c r="L6" s="1241" t="s">
        <v>543</v>
      </c>
      <c r="P6" s="16123"/>
      <c r="Q6" s="16123">
        <v>1</v>
      </c>
      <c r="R6" s="273"/>
      <c r="S6" s="1364" t="e">
        <f>$J6</f>
        <v>#N/A</v>
      </c>
      <c r="T6" s="203" t="s">
        <v>544</v>
      </c>
      <c r="U6" s="217"/>
      <c r="V6" s="16113"/>
      <c r="W6" s="16114"/>
      <c r="X6" s="16114"/>
      <c r="Y6" s="16114"/>
      <c r="Z6" s="16114"/>
      <c r="AA6" s="16114"/>
      <c r="AB6" s="16115"/>
      <c r="AC6" s="16113"/>
      <c r="AD6" s="16114"/>
      <c r="AE6" s="16114"/>
      <c r="AF6" s="16114"/>
      <c r="AG6" s="16114"/>
      <c r="AH6" s="16114"/>
      <c r="AI6" s="16114"/>
      <c r="AJ6" s="16115"/>
      <c r="AK6" s="1187" t="s">
        <v>620</v>
      </c>
      <c r="AM6" s="407"/>
      <c r="AN6" s="407" t="str">
        <f t="shared" si="0"/>
        <v>Группа потребителей</v>
      </c>
      <c r="AO6" s="407"/>
      <c r="AP6" s="407"/>
    </row>
    <row r="7" spans="1:42" ht="23.25" hidden="1" customHeight="1">
      <c r="A7" s="1240"/>
      <c r="B7" s="1240"/>
      <c r="C7" s="1240"/>
      <c r="D7" s="1240"/>
      <c r="E7" s="16125"/>
      <c r="F7" s="16125"/>
      <c r="G7" s="16125"/>
      <c r="H7" s="16125"/>
      <c r="I7" s="16145"/>
      <c r="J7" s="16145"/>
      <c r="K7" s="16122" t="e">
        <f>J6&amp;".1"</f>
        <v>#N/A</v>
      </c>
      <c r="L7" s="1241"/>
      <c r="P7" s="16123"/>
      <c r="Q7" s="16123"/>
      <c r="R7" s="273">
        <v>1</v>
      </c>
      <c r="S7" s="1364" t="e">
        <f>$K7</f>
        <v>#N/A</v>
      </c>
      <c r="T7" s="1313"/>
      <c r="U7" s="217"/>
      <c r="V7" s="649"/>
      <c r="W7" s="649"/>
      <c r="X7" s="1139"/>
      <c r="Y7" s="16127"/>
      <c r="Z7" s="15973" t="s">
        <v>66</v>
      </c>
      <c r="AA7" s="16127"/>
      <c r="AB7" s="15973" t="s">
        <v>66</v>
      </c>
      <c r="AC7" s="649"/>
      <c r="AD7" s="649"/>
      <c r="AE7" s="1139"/>
      <c r="AF7" s="16127"/>
      <c r="AG7" s="15973" t="s">
        <v>66</v>
      </c>
      <c r="AH7" s="16146"/>
      <c r="AI7" s="15973" t="s">
        <v>66</v>
      </c>
      <c r="AJ7" s="1314"/>
      <c r="AK7"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0"/>
      <c r="B8" s="1240"/>
      <c r="C8" s="1240"/>
      <c r="D8" s="1240"/>
      <c r="E8" s="16125"/>
      <c r="F8" s="16125"/>
      <c r="G8" s="16125"/>
      <c r="H8" s="16125"/>
      <c r="I8" s="16145"/>
      <c r="J8" s="16145"/>
      <c r="K8" s="16122"/>
      <c r="L8" s="1241"/>
      <c r="P8" s="16123"/>
      <c r="Q8" s="16123"/>
      <c r="R8" s="273"/>
      <c r="S8" s="1361"/>
      <c r="T8" s="217"/>
      <c r="U8" s="217"/>
      <c r="V8" s="242"/>
      <c r="W8" s="242"/>
      <c r="X8" s="245" t="str">
        <f>Y7&amp;"-"&amp;AA7</f>
        <v>-</v>
      </c>
      <c r="Y8" s="16128"/>
      <c r="Z8" s="15973"/>
      <c r="AA8" s="16128"/>
      <c r="AB8" s="15973"/>
      <c r="AC8" s="242"/>
      <c r="AD8" s="242"/>
      <c r="AE8" s="245" t="str">
        <f>AF7&amp;"-"&amp;AH7</f>
        <v>-</v>
      </c>
      <c r="AF8" s="16128"/>
      <c r="AG8" s="15973"/>
      <c r="AH8" s="16147"/>
      <c r="AI8" s="15973"/>
      <c r="AJ8" s="1315"/>
      <c r="AK8" s="16182"/>
      <c r="AM8" s="407"/>
      <c r="AN8" s="407" t="str">
        <f t="shared" si="0"/>
        <v/>
      </c>
      <c r="AO8" s="407"/>
      <c r="AP8" s="407"/>
    </row>
    <row r="9" spans="1:42" ht="21" hidden="1" customHeight="1">
      <c r="A9" s="1240"/>
      <c r="B9" s="1240"/>
      <c r="C9" s="1240"/>
      <c r="D9" s="1240"/>
      <c r="E9" s="16125"/>
      <c r="F9" s="16125"/>
      <c r="G9" s="16125"/>
      <c r="H9" s="16125"/>
      <c r="I9" s="16145"/>
      <c r="J9" s="16122"/>
      <c r="K9" s="1240"/>
      <c r="L9" s="1241"/>
      <c r="P9" s="16123"/>
      <c r="Q9" s="16123"/>
      <c r="R9" s="272"/>
      <c r="S9" s="1160"/>
      <c r="T9" s="204" t="s">
        <v>621</v>
      </c>
      <c r="U9" s="282"/>
      <c r="V9" s="282"/>
      <c r="W9" s="282"/>
      <c r="X9" s="282"/>
      <c r="Y9" s="282"/>
      <c r="Z9" s="282"/>
      <c r="AA9" s="282"/>
      <c r="AB9" s="282"/>
      <c r="AC9" s="282"/>
      <c r="AD9" s="282"/>
      <c r="AE9" s="282"/>
      <c r="AF9" s="282"/>
      <c r="AG9" s="282"/>
      <c r="AH9" s="282"/>
      <c r="AI9" s="282"/>
      <c r="AJ9" s="282"/>
      <c r="AK9" s="1140" t="s">
        <v>622</v>
      </c>
      <c r="AM9" s="407"/>
      <c r="AN9" s="407" t="str">
        <f t="shared" si="0"/>
        <v>Добавить значение признака дифференциации</v>
      </c>
      <c r="AO9" s="407"/>
      <c r="AP9" s="407"/>
    </row>
    <row r="10" spans="1:42" ht="21" hidden="1" customHeight="1">
      <c r="A10" s="1240"/>
      <c r="B10" s="1240"/>
      <c r="C10" s="1240"/>
      <c r="D10" s="1240"/>
      <c r="E10" s="16125"/>
      <c r="F10" s="16125"/>
      <c r="G10" s="16125"/>
      <c r="H10" s="16125"/>
      <c r="I10" s="16122"/>
      <c r="J10" s="1240"/>
      <c r="K10" s="1240"/>
      <c r="L10" s="1241"/>
      <c r="P10" s="16123"/>
      <c r="Q10" s="1352"/>
      <c r="R10" s="272"/>
      <c r="S10" s="1160"/>
      <c r="T10" s="280" t="s">
        <v>549</v>
      </c>
      <c r="U10" s="282"/>
      <c r="V10" s="282"/>
      <c r="W10" s="282"/>
      <c r="X10" s="282"/>
      <c r="Y10" s="282"/>
      <c r="Z10" s="282"/>
      <c r="AA10" s="282"/>
      <c r="AB10" s="281"/>
      <c r="AC10" s="282"/>
      <c r="AD10" s="282"/>
      <c r="AE10" s="282"/>
      <c r="AF10" s="282"/>
      <c r="AG10" s="282"/>
      <c r="AH10" s="282"/>
      <c r="AI10" s="281"/>
      <c r="AJ10" s="282"/>
      <c r="AK10" s="1316"/>
      <c r="AM10" s="407"/>
      <c r="AN10" s="407" t="str">
        <f t="shared" si="0"/>
        <v>Добавить группу потребителей</v>
      </c>
      <c r="AO10" s="407"/>
      <c r="AP10" s="407"/>
    </row>
    <row r="11" spans="1:42" ht="21" hidden="1" customHeight="1">
      <c r="A11" s="1240"/>
      <c r="B11" s="1240"/>
      <c r="C11" s="1240"/>
      <c r="D11" s="1240"/>
      <c r="E11" s="16125"/>
      <c r="F11" s="16125"/>
      <c r="G11" s="16125"/>
      <c r="H11" s="16124"/>
      <c r="I11" s="1240"/>
      <c r="J11" s="1240"/>
      <c r="K11" s="1240"/>
      <c r="L11" s="1241"/>
      <c r="M11" s="1242"/>
      <c r="N11" s="1242"/>
      <c r="O11" s="443"/>
      <c r="P11" s="276"/>
      <c r="Q11" s="290"/>
      <c r="R11" s="271"/>
      <c r="S11" s="1160"/>
      <c r="T11" s="287" t="s">
        <v>623</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4418" customFormat="1" ht="14.25" hidden="1" customHeight="1">
      <c r="A12" s="1221"/>
      <c r="B12" s="1221"/>
      <c r="C12" s="1193"/>
      <c r="D12" s="1193"/>
      <c r="E12" s="16125"/>
      <c r="F12" s="16124"/>
      <c r="G12" s="1193"/>
      <c r="H12" s="1193"/>
      <c r="I12" s="1193"/>
      <c r="J12" s="1193"/>
      <c r="K12" s="1193"/>
      <c r="L12" s="1365"/>
      <c r="M12" s="1200"/>
      <c r="N12" s="1200"/>
      <c r="P12" s="1195"/>
      <c r="Q12" s="1196"/>
      <c r="R12" s="1195"/>
      <c r="S12" s="1201"/>
      <c r="T12" s="1204" t="s">
        <v>290</v>
      </c>
      <c r="U12" s="1203"/>
      <c r="V12" s="1203"/>
      <c r="W12" s="1203"/>
      <c r="X12" s="1203"/>
      <c r="Y12" s="1203"/>
      <c r="Z12" s="1203"/>
      <c r="AA12" s="1203"/>
      <c r="AB12" s="1203"/>
      <c r="AC12" s="1203"/>
      <c r="AD12" s="1203"/>
      <c r="AE12" s="1203"/>
      <c r="AF12" s="1203"/>
      <c r="AG12" s="1203"/>
      <c r="AH12" s="1203"/>
      <c r="AI12" s="1203"/>
      <c r="AJ12" s="1203"/>
      <c r="AK12" s="1203"/>
      <c r="AM12" s="687"/>
      <c r="AN12" s="687" t="str">
        <f t="shared" si="0"/>
        <v>Добавить централизованную систему для дифференциации</v>
      </c>
      <c r="AO12" s="687"/>
      <c r="AP12" s="687"/>
    </row>
    <row r="13" spans="1:42" s="14421" customFormat="1" ht="14.25" hidden="1" customHeight="1">
      <c r="A13" s="1221"/>
      <c r="B13" s="1221"/>
      <c r="C13" s="1221"/>
      <c r="D13" s="1221"/>
      <c r="E13" s="16124"/>
      <c r="F13" s="1221"/>
      <c r="G13" s="1221"/>
      <c r="H13" s="1221"/>
      <c r="I13" s="1221"/>
      <c r="J13" s="1221"/>
      <c r="K13" s="1221"/>
      <c r="L13" s="1224"/>
      <c r="M13" s="1200"/>
      <c r="N13" s="1200"/>
      <c r="O13" s="425"/>
      <c r="P13" s="295"/>
      <c r="Q13" s="1222"/>
      <c r="R13" s="295"/>
      <c r="S13" s="1201"/>
      <c r="T13" s="1204" t="s">
        <v>326</v>
      </c>
      <c r="U13" s="1203"/>
      <c r="V13" s="1203"/>
      <c r="W13" s="1203"/>
      <c r="X13" s="1203"/>
      <c r="Y13" s="1203"/>
      <c r="Z13" s="1203"/>
      <c r="AA13" s="1203"/>
      <c r="AB13" s="1203"/>
      <c r="AC13" s="1203"/>
      <c r="AD13" s="1203"/>
      <c r="AE13" s="1203"/>
      <c r="AF13" s="1203"/>
      <c r="AG13" s="1203"/>
      <c r="AH13" s="1203"/>
      <c r="AI13" s="1203"/>
      <c r="AJ13" s="1203"/>
      <c r="AK13" s="1203"/>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7"/>
      <c r="AD15" s="1237"/>
      <c r="AE15" s="1238"/>
      <c r="AF15" s="16129"/>
      <c r="AG15" s="16130" t="s">
        <v>66</v>
      </c>
      <c r="AH15" s="16129"/>
      <c r="AI15" s="16130" t="s">
        <v>66</v>
      </c>
    </row>
    <row r="16" spans="1:42" ht="14.25" hidden="1" customHeight="1">
      <c r="AC16" s="1237"/>
      <c r="AD16" s="1237"/>
      <c r="AE16" s="245" t="str">
        <f>AF15&amp;"-"&amp;AH15</f>
        <v>-</v>
      </c>
      <c r="AF16" s="16130"/>
      <c r="AG16" s="16130"/>
      <c r="AH16" s="16130"/>
      <c r="AI16" s="16130"/>
    </row>
    <row r="17" spans="1:42" ht="14.25" hidden="1" customHeight="1">
      <c r="AI17" s="244"/>
    </row>
    <row r="18" spans="1:42" s="14419" customFormat="1" ht="22.5" hidden="1" customHeight="1">
      <c r="L18" s="1349"/>
      <c r="M18" s="1239"/>
      <c r="N18" s="1239"/>
      <c r="O18" s="1244" t="s">
        <v>552</v>
      </c>
      <c r="P18" s="1239"/>
      <c r="Q18" s="1248"/>
      <c r="R18" s="1248"/>
      <c r="S18" s="629"/>
      <c r="Y18" s="1244"/>
      <c r="AA18" s="1244"/>
      <c r="AB18" s="1243"/>
      <c r="AF18" s="1244"/>
      <c r="AH18" s="1244"/>
      <c r="AI18" s="1243"/>
      <c r="AL18" s="418"/>
      <c r="AM18" s="418"/>
      <c r="AN18" s="418"/>
      <c r="AO18" s="418"/>
      <c r="AP18" s="418"/>
    </row>
    <row r="19" spans="1:42" s="14419" customFormat="1" ht="14.25" hidden="1" customHeight="1">
      <c r="L19" s="1349"/>
      <c r="M19" s="1239"/>
      <c r="N19" s="1239"/>
      <c r="O19" s="1239"/>
      <c r="P19" s="1239"/>
      <c r="Q19" s="1248"/>
      <c r="R19" s="1248"/>
      <c r="S19" s="629"/>
      <c r="AB19" s="1243"/>
      <c r="AI19" s="1243"/>
      <c r="AL19" s="418"/>
      <c r="AM19" s="418"/>
      <c r="AN19" s="418"/>
      <c r="AO19" s="418"/>
      <c r="AP19" s="418"/>
    </row>
    <row r="20" spans="1:42" s="14419" customFormat="1" ht="12" hidden="1" customHeight="1">
      <c r="L20" s="1349"/>
      <c r="M20" s="1239"/>
      <c r="N20" s="1239"/>
      <c r="O20" s="1241" t="s">
        <v>553</v>
      </c>
      <c r="P20" s="1239"/>
      <c r="Q20" s="1317"/>
      <c r="R20" s="1317"/>
      <c r="S20" s="629"/>
      <c r="T20" s="1041" t="s">
        <v>554</v>
      </c>
      <c r="Z20" s="108" t="s">
        <v>555</v>
      </c>
      <c r="AB20" s="108" t="s">
        <v>556</v>
      </c>
      <c r="AC20" s="1041" t="s">
        <v>554</v>
      </c>
      <c r="AG20" s="108" t="s">
        <v>557</v>
      </c>
      <c r="AI20" s="108" t="s">
        <v>556</v>
      </c>
    </row>
    <row r="21" spans="1:42" ht="14.25" hidden="1" customHeight="1">
      <c r="O21" s="1241"/>
    </row>
    <row r="22" spans="1:42" ht="14.25" hidden="1" customHeight="1">
      <c r="O22" s="1241"/>
    </row>
    <row r="23" spans="1:42" ht="14.25" customHeight="1">
      <c r="Q23" s="291"/>
      <c r="R23" s="291"/>
      <c r="S23" s="1157"/>
      <c r="T23" s="279"/>
      <c r="U23" s="279"/>
      <c r="V23" s="416"/>
      <c r="W23" s="416"/>
      <c r="X23" s="416"/>
      <c r="Y23" s="416"/>
      <c r="Z23" s="416"/>
      <c r="AA23" s="416"/>
      <c r="AB23" s="416"/>
      <c r="AC23" s="416"/>
      <c r="AD23" s="416"/>
      <c r="AE23" s="416"/>
      <c r="AF23" s="416"/>
      <c r="AG23" s="416"/>
      <c r="AH23" s="416"/>
      <c r="AI23" s="416"/>
    </row>
    <row r="24" spans="1:42" ht="14.25" customHeight="1">
      <c r="Q24" s="291"/>
      <c r="R24" s="291"/>
      <c r="S24" s="1610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6108"/>
      <c r="U24" s="16108"/>
      <c r="V24" s="16108"/>
      <c r="W24" s="16108"/>
      <c r="X24" s="16108"/>
      <c r="Y24" s="16108"/>
      <c r="Z24" s="16108"/>
      <c r="AA24" s="16108"/>
      <c r="AB24" s="16108"/>
      <c r="AC24" s="16108"/>
      <c r="AD24" s="16108"/>
      <c r="AE24" s="16108"/>
      <c r="AF24" s="16108"/>
      <c r="AG24" s="16108"/>
      <c r="AH24" s="16108"/>
      <c r="AI24" s="1125"/>
    </row>
    <row r="25" spans="1:42" ht="14.25" customHeight="1">
      <c r="Q25" s="291"/>
      <c r="R25" s="291"/>
      <c r="S25" s="16056" t="str">
        <f>IF(org=0,"Не определено",org)</f>
        <v>АО "Мурманэнергосбыт"</v>
      </c>
      <c r="T25" s="16056"/>
      <c r="U25" s="16056"/>
      <c r="V25" s="16056"/>
      <c r="W25" s="16056"/>
      <c r="X25" s="16056"/>
      <c r="Y25" s="16056"/>
      <c r="Z25" s="16056"/>
      <c r="AA25" s="16056"/>
      <c r="AB25" s="16056"/>
      <c r="AC25" s="16056"/>
      <c r="AD25" s="16056"/>
      <c r="AE25" s="16056"/>
      <c r="AF25" s="16056"/>
      <c r="AG25" s="16056"/>
      <c r="AH25" s="16056"/>
      <c r="AI25" s="1125"/>
    </row>
    <row r="26" spans="1:42" ht="14.25" customHeight="1">
      <c r="Q26" s="291"/>
      <c r="R26" s="291"/>
      <c r="S26" s="1157"/>
      <c r="T26" s="279"/>
      <c r="U26" s="279"/>
      <c r="V26" s="239"/>
      <c r="W26" s="239"/>
      <c r="X26" s="239"/>
      <c r="Y26" s="239"/>
      <c r="Z26" s="239"/>
      <c r="AA26" s="239"/>
      <c r="AB26" s="239"/>
      <c r="AC26" s="239"/>
      <c r="AD26" s="239"/>
      <c r="AE26" s="239"/>
      <c r="AF26" s="239"/>
      <c r="AG26" s="239"/>
      <c r="AH26" s="239"/>
      <c r="AI26" s="239"/>
      <c r="AJ26" s="416"/>
    </row>
    <row r="27" spans="1:42" s="14420" customFormat="1" ht="25.5" customHeight="1">
      <c r="A27" s="1245"/>
      <c r="B27" s="1245"/>
      <c r="C27" s="1245"/>
      <c r="D27" s="1245"/>
      <c r="E27" s="1245"/>
      <c r="F27" s="1245"/>
      <c r="G27" s="1245"/>
      <c r="H27" s="1245"/>
      <c r="I27" s="1245"/>
      <c r="J27" s="1245"/>
      <c r="K27" s="1245"/>
      <c r="L27" s="1246"/>
      <c r="M27" s="1245"/>
      <c r="N27" s="1245"/>
      <c r="O27" s="1245"/>
      <c r="S27" s="16116" t="s">
        <v>38</v>
      </c>
      <c r="T27" s="16116"/>
      <c r="U27" s="1249"/>
      <c r="V27" s="16117" t="str">
        <f>IF(TITLE_NAME_OR_PR_CHANGE="",IF(TITLE_NAME_OR_PR="","",TITLE_NAME_OR_PR),TITLE_NAME_OR_PR_CHANGE)</f>
        <v>Комитет по тарифному регулированию Мурманской области</v>
      </c>
      <c r="W27" s="16117"/>
      <c r="X27" s="16117"/>
      <c r="Y27" s="16117"/>
      <c r="Z27" s="16117"/>
      <c r="AA27" s="16117"/>
      <c r="AB27" s="243"/>
      <c r="AC27" s="16117" t="str">
        <f>IF(TITLE_NAME_OR_PR_CHANGE="",IF(TITLE_NAME_OR_PR="","",TITLE_NAME_OR_PR),TITLE_NAME_OR_PR_CHANGE)</f>
        <v>Комитет по тарифному регулированию Мурманской области</v>
      </c>
      <c r="AD27" s="16117"/>
      <c r="AE27" s="16117"/>
      <c r="AF27" s="16117"/>
      <c r="AG27" s="16117"/>
      <c r="AH27" s="16117"/>
      <c r="AI27" s="243"/>
      <c r="AJ27" s="243"/>
      <c r="AK27" s="198"/>
      <c r="AL27" s="283"/>
      <c r="AM27" s="283"/>
      <c r="AN27" s="283"/>
      <c r="AO27" s="283"/>
      <c r="AP27" s="283"/>
    </row>
    <row r="28" spans="1:42" s="14420" customFormat="1" ht="18.75" customHeight="1">
      <c r="A28" s="1245"/>
      <c r="B28" s="1245"/>
      <c r="C28" s="1245"/>
      <c r="D28" s="1245"/>
      <c r="E28" s="1245"/>
      <c r="F28" s="1245"/>
      <c r="G28" s="1245"/>
      <c r="H28" s="1245"/>
      <c r="I28" s="1245"/>
      <c r="J28" s="1245"/>
      <c r="K28" s="1245"/>
      <c r="L28" s="1246"/>
      <c r="M28" s="1245"/>
      <c r="N28" s="1245"/>
      <c r="O28" s="1245"/>
      <c r="S28" s="16116" t="s">
        <v>558</v>
      </c>
      <c r="T28" s="16116"/>
      <c r="U28" s="1249"/>
      <c r="V28" s="16126">
        <f>IF(TITLE_DATE_PR_CHANGE="",IF(TITLE_DATE_PR="","",TITLE_DATE_PR),TITLE_DATE_PR_CHANGE)</f>
        <v>45379</v>
      </c>
      <c r="W28" s="16126"/>
      <c r="X28" s="16126"/>
      <c r="Y28" s="16126"/>
      <c r="Z28" s="16126"/>
      <c r="AA28" s="16126"/>
      <c r="AB28" s="243"/>
      <c r="AC28" s="16126">
        <f>IF(TITLE_DATE_PR_CHANGE="",IF(TITLE_DATE_PR="","",TITLE_DATE_PR),TITLE_DATE_PR_CHANGE)</f>
        <v>45379</v>
      </c>
      <c r="AD28" s="16126"/>
      <c r="AE28" s="16126"/>
      <c r="AF28" s="16126"/>
      <c r="AG28" s="16126"/>
      <c r="AH28" s="16126"/>
      <c r="AI28" s="243"/>
      <c r="AJ28" s="243"/>
      <c r="AK28" s="198"/>
      <c r="AL28" s="283"/>
      <c r="AM28" s="283"/>
      <c r="AN28" s="283"/>
      <c r="AO28" s="283"/>
      <c r="AP28" s="283"/>
    </row>
    <row r="29" spans="1:42" s="14420" customFormat="1" ht="18.75" customHeight="1">
      <c r="A29" s="1245"/>
      <c r="B29" s="1245"/>
      <c r="C29" s="1245"/>
      <c r="D29" s="1245"/>
      <c r="E29" s="1245"/>
      <c r="F29" s="1245"/>
      <c r="G29" s="1245"/>
      <c r="H29" s="1245"/>
      <c r="I29" s="1245"/>
      <c r="J29" s="1245"/>
      <c r="K29" s="1245"/>
      <c r="L29" s="1246"/>
      <c r="M29" s="1245"/>
      <c r="N29" s="1245"/>
      <c r="O29" s="1245"/>
      <c r="S29" s="16116" t="s">
        <v>559</v>
      </c>
      <c r="T29" s="16116"/>
      <c r="U29" s="1249"/>
      <c r="V29" s="16117" t="str">
        <f>IF(TITLE_NUMBER_PR_CHANGE="",IF(TITLE_NUMBER_PR="","",TITLE_NUMBER_PR),TITLE_NUMBER_PR_CHANGE)</f>
        <v>8/6</v>
      </c>
      <c r="W29" s="16117"/>
      <c r="X29" s="16117"/>
      <c r="Y29" s="16117"/>
      <c r="Z29" s="16117"/>
      <c r="AA29" s="16117"/>
      <c r="AB29" s="243"/>
      <c r="AC29" s="16117" t="str">
        <f>IF(TITLE_NUMBER_PR_CHANGE="",IF(TITLE_NUMBER_PR="","",TITLE_NUMBER_PR),TITLE_NUMBER_PR_CHANGE)</f>
        <v>8/6</v>
      </c>
      <c r="AD29" s="16117"/>
      <c r="AE29" s="16117"/>
      <c r="AF29" s="16117"/>
      <c r="AG29" s="16117"/>
      <c r="AH29" s="16117"/>
      <c r="AI29" s="243"/>
      <c r="AJ29" s="243"/>
      <c r="AK29" s="198"/>
      <c r="AL29" s="283"/>
      <c r="AM29" s="283"/>
      <c r="AN29" s="283"/>
      <c r="AO29" s="283"/>
      <c r="AP29" s="283"/>
    </row>
    <row r="30" spans="1:42" s="14420" customFormat="1" ht="18.75" customHeight="1">
      <c r="A30" s="1245"/>
      <c r="B30" s="1245"/>
      <c r="C30" s="1245"/>
      <c r="D30" s="1245"/>
      <c r="E30" s="1245"/>
      <c r="F30" s="1245"/>
      <c r="G30" s="1245"/>
      <c r="H30" s="1245"/>
      <c r="I30" s="1245"/>
      <c r="J30" s="1245"/>
      <c r="K30" s="1245"/>
      <c r="L30" s="1246"/>
      <c r="M30" s="1245"/>
      <c r="N30" s="1245"/>
      <c r="O30" s="1245"/>
      <c r="S30" s="16116" t="s">
        <v>40</v>
      </c>
      <c r="T30" s="16116"/>
      <c r="U30" s="1249"/>
      <c r="V30" s="16117" t="str">
        <f>IF(TITLE_IST_PUB_CHANGE="",IF(TITLE_IST_PUB="","",TITLE_IST_PUB),TITLE_IST_PUB_CHANGE)</f>
        <v>https://npa.gov-murman.ru/bitrix/components/b1team/govmurman.element.file/download.php?ID=518761&amp;FID=765125</v>
      </c>
      <c r="W30" s="16117"/>
      <c r="X30" s="16117"/>
      <c r="Y30" s="16117"/>
      <c r="Z30" s="16117"/>
      <c r="AA30" s="16117"/>
      <c r="AB30" s="243"/>
      <c r="AC30" s="16117" t="str">
        <f>IF(TITLE_IST_PUB_CHANGE="",IF(TITLE_IST_PUB="","",TITLE_IST_PUB),TITLE_IST_PUB_CHANGE)</f>
        <v>https://npa.gov-murman.ru/bitrix/components/b1team/govmurman.element.file/download.php?ID=518761&amp;FID=765125</v>
      </c>
      <c r="AD30" s="16117"/>
      <c r="AE30" s="16117"/>
      <c r="AF30" s="16117"/>
      <c r="AG30" s="16117"/>
      <c r="AH30" s="16117"/>
      <c r="AI30" s="243"/>
      <c r="AJ30" s="243"/>
      <c r="AK30" s="198"/>
      <c r="AL30" s="283"/>
      <c r="AM30" s="283"/>
      <c r="AN30" s="283"/>
      <c r="AO30" s="283"/>
      <c r="AP30" s="283"/>
    </row>
    <row r="31" spans="1:42" ht="14.25" hidden="1" customHeight="1">
      <c r="Q31" s="291"/>
      <c r="R31" s="291"/>
      <c r="S31" s="1157"/>
      <c r="T31" s="279"/>
      <c r="U31" s="279"/>
      <c r="V31" s="239"/>
      <c r="W31" s="239"/>
      <c r="X31" s="239"/>
      <c r="Y31" s="239"/>
      <c r="Z31" s="239"/>
      <c r="AA31" s="239"/>
      <c r="AB31" s="239"/>
      <c r="AC31" s="239"/>
      <c r="AD31" s="239"/>
      <c r="AE31" s="239"/>
      <c r="AF31" s="239"/>
      <c r="AG31" s="239"/>
      <c r="AH31" s="239"/>
      <c r="AI31" s="239"/>
      <c r="AJ31" s="416"/>
    </row>
    <row r="32" spans="1:42" s="14420" customFormat="1" ht="18.75" hidden="1" customHeight="1">
      <c r="A32" s="1245"/>
      <c r="B32" s="1245"/>
      <c r="C32" s="1245"/>
      <c r="D32" s="1245"/>
      <c r="E32" s="1245"/>
      <c r="F32" s="1245"/>
      <c r="G32" s="1245"/>
      <c r="H32" s="1245"/>
      <c r="I32" s="1245"/>
      <c r="J32" s="1245"/>
      <c r="K32" s="1245"/>
      <c r="L32" s="1246"/>
      <c r="M32" s="1245"/>
      <c r="N32" s="1245"/>
      <c r="O32" s="1245"/>
      <c r="S32" s="16116" t="s">
        <v>560</v>
      </c>
      <c r="T32" s="16116"/>
      <c r="U32" s="1249"/>
      <c r="V32" s="16126">
        <f>IF(TITLE_DATE_PR_CHANGE="",IF(TITLE_DATE_PR="","",TITLE_DATE_PR),TITLE_DATE_PR_CHANGE)</f>
        <v>45379</v>
      </c>
      <c r="W32" s="16126"/>
      <c r="X32" s="16126"/>
      <c r="Y32" s="16126"/>
      <c r="Z32" s="16126"/>
      <c r="AA32" s="16126"/>
      <c r="AB32" s="243"/>
      <c r="AC32" s="16126">
        <f>IF(TITLE_DATE_PR_CHANGE="",IF(TITLE_DATE_PR="","",TITLE_DATE_PR),TITLE_DATE_PR_CHANGE)</f>
        <v>45379</v>
      </c>
      <c r="AD32" s="16126"/>
      <c r="AE32" s="16126"/>
      <c r="AF32" s="16126"/>
      <c r="AG32" s="16126"/>
      <c r="AH32" s="16126"/>
      <c r="AI32" s="243"/>
      <c r="AJ32" s="243"/>
      <c r="AK32" s="198"/>
      <c r="AL32" s="283"/>
      <c r="AM32" s="283"/>
      <c r="AN32" s="283"/>
      <c r="AO32" s="283"/>
      <c r="AP32" s="283"/>
    </row>
    <row r="33" spans="1:42" s="14420" customFormat="1" ht="18.75" hidden="1" customHeight="1">
      <c r="A33" s="1245"/>
      <c r="B33" s="1245"/>
      <c r="C33" s="1245"/>
      <c r="D33" s="1245"/>
      <c r="E33" s="1245"/>
      <c r="F33" s="1245"/>
      <c r="G33" s="1245"/>
      <c r="H33" s="1245"/>
      <c r="I33" s="1245"/>
      <c r="J33" s="1245"/>
      <c r="K33" s="1245"/>
      <c r="L33" s="1246"/>
      <c r="M33" s="1245"/>
      <c r="N33" s="1245"/>
      <c r="O33" s="1245"/>
      <c r="S33" s="16116" t="s">
        <v>561</v>
      </c>
      <c r="T33" s="16116"/>
      <c r="U33" s="1249"/>
      <c r="V33" s="16117" t="str">
        <f>IF(TITLE_NUMBER_PR_CHANGE="",IF(TITLE_NUMBER_PR="","",TITLE_NUMBER_PR),TITLE_NUMBER_PR_CHANGE)</f>
        <v>8/6</v>
      </c>
      <c r="W33" s="16117"/>
      <c r="X33" s="16117"/>
      <c r="Y33" s="16117"/>
      <c r="Z33" s="16117"/>
      <c r="AA33" s="16117"/>
      <c r="AB33" s="243"/>
      <c r="AC33" s="16117" t="str">
        <f>IF(TITLE_NUMBER_PR_CHANGE="",IF(TITLE_NUMBER_PR="","",TITLE_NUMBER_PR),TITLE_NUMBER_PR_CHANGE)</f>
        <v>8/6</v>
      </c>
      <c r="AD33" s="16117"/>
      <c r="AE33" s="16117"/>
      <c r="AF33" s="16117"/>
      <c r="AG33" s="16117"/>
      <c r="AH33" s="16117"/>
      <c r="AI33" s="243"/>
      <c r="AJ33" s="243"/>
      <c r="AK33" s="198"/>
      <c r="AL33" s="283"/>
      <c r="AM33" s="283"/>
      <c r="AN33" s="283"/>
      <c r="AO33" s="283"/>
      <c r="AP33" s="283"/>
    </row>
    <row r="34" spans="1:42" s="14420"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243"/>
      <c r="X34" s="243"/>
      <c r="Y34" s="243"/>
      <c r="Z34" s="243"/>
      <c r="AA34" s="243"/>
      <c r="AB34" s="196" t="s">
        <v>562</v>
      </c>
      <c r="AC34" s="243"/>
      <c r="AD34" s="243"/>
      <c r="AE34" s="243"/>
      <c r="AF34" s="243"/>
      <c r="AG34" s="243"/>
      <c r="AH34" s="243"/>
      <c r="AI34" s="196" t="s">
        <v>562</v>
      </c>
      <c r="AL34" s="283"/>
      <c r="AM34" s="283"/>
      <c r="AN34" s="283"/>
      <c r="AO34" s="283"/>
      <c r="AP34" s="283"/>
    </row>
    <row r="35" spans="1:42" ht="14.25" customHeight="1">
      <c r="Q35" s="291"/>
      <c r="R35" s="291"/>
      <c r="S35" s="1157"/>
      <c r="T35" s="279"/>
      <c r="U35" s="1126"/>
      <c r="V35" s="16118"/>
      <c r="W35" s="16118"/>
      <c r="X35" s="16118"/>
      <c r="Y35" s="16118"/>
      <c r="Z35" s="16118"/>
      <c r="AA35" s="16118"/>
      <c r="AB35" s="16118"/>
      <c r="AC35" s="16118"/>
      <c r="AD35" s="16118"/>
      <c r="AE35" s="16118"/>
      <c r="AF35" s="16118"/>
      <c r="AG35" s="16118"/>
      <c r="AH35" s="16118"/>
      <c r="AI35" s="16118"/>
    </row>
    <row r="36" spans="1:42" ht="14.25" customHeight="1">
      <c r="Q36" s="291"/>
      <c r="R36" s="291"/>
      <c r="S36" s="15992" t="s">
        <v>437</v>
      </c>
      <c r="T36" s="15992"/>
      <c r="U36" s="15992"/>
      <c r="V36" s="15992"/>
      <c r="W36" s="15992"/>
      <c r="X36" s="15992"/>
      <c r="Y36" s="15992"/>
      <c r="Z36" s="15992"/>
      <c r="AA36" s="15992"/>
      <c r="AB36" s="15992"/>
      <c r="AC36" s="15992"/>
      <c r="AD36" s="15992"/>
      <c r="AE36" s="15992"/>
      <c r="AF36" s="15992"/>
      <c r="AG36" s="15992"/>
      <c r="AH36" s="15992"/>
      <c r="AI36" s="15992"/>
      <c r="AJ36" s="15992"/>
      <c r="AK36" s="15992" t="s">
        <v>438</v>
      </c>
    </row>
    <row r="37" spans="1:42" ht="14.25" customHeight="1">
      <c r="Q37" s="291"/>
      <c r="R37" s="291"/>
      <c r="S37" s="16132" t="s">
        <v>87</v>
      </c>
      <c r="T37" s="16084" t="s">
        <v>563</v>
      </c>
      <c r="U37" s="218"/>
      <c r="V37" s="16133" t="s">
        <v>564</v>
      </c>
      <c r="W37" s="16134"/>
      <c r="X37" s="16134"/>
      <c r="Y37" s="16134"/>
      <c r="Z37" s="16134"/>
      <c r="AA37" s="16135"/>
      <c r="AB37" s="16136" t="s">
        <v>565</v>
      </c>
      <c r="AC37" s="16133" t="s">
        <v>564</v>
      </c>
      <c r="AD37" s="16134"/>
      <c r="AE37" s="16134"/>
      <c r="AF37" s="16134"/>
      <c r="AG37" s="16134"/>
      <c r="AH37" s="16135"/>
      <c r="AI37" s="16136" t="s">
        <v>566</v>
      </c>
      <c r="AJ37" s="16139" t="s">
        <v>567</v>
      </c>
      <c r="AK37" s="15992"/>
    </row>
    <row r="38" spans="1:42" ht="33.75" customHeight="1">
      <c r="Q38" s="291"/>
      <c r="R38" s="291"/>
      <c r="S38" s="16132"/>
      <c r="T38" s="16084"/>
      <c r="U38" s="919"/>
      <c r="V38" s="1354" t="s">
        <v>624</v>
      </c>
      <c r="W38" s="15963" t="s">
        <v>570</v>
      </c>
      <c r="X38" s="15962"/>
      <c r="Y38" s="15963" t="s">
        <v>571</v>
      </c>
      <c r="Z38" s="15968"/>
      <c r="AA38" s="15962"/>
      <c r="AB38" s="16137"/>
      <c r="AC38" s="1354" t="s">
        <v>624</v>
      </c>
      <c r="AD38" s="15963" t="s">
        <v>570</v>
      </c>
      <c r="AE38" s="15962"/>
      <c r="AF38" s="15963" t="s">
        <v>571</v>
      </c>
      <c r="AG38" s="15968"/>
      <c r="AH38" s="15962"/>
      <c r="AI38" s="16137"/>
      <c r="AJ38" s="16140"/>
      <c r="AK38" s="15992"/>
    </row>
    <row r="39" spans="1:42" ht="86.25" customHeight="1">
      <c r="A39" s="1247"/>
      <c r="B39" s="1247" t="s">
        <v>170</v>
      </c>
      <c r="C39" s="1247" t="s">
        <v>171</v>
      </c>
      <c r="D39" s="1247" t="s">
        <v>172</v>
      </c>
      <c r="E39" s="1241" t="s">
        <v>572</v>
      </c>
      <c r="F39" s="1241" t="s">
        <v>573</v>
      </c>
      <c r="G39" s="1241" t="s">
        <v>574</v>
      </c>
      <c r="H39" s="1241"/>
      <c r="I39" s="1241" t="s">
        <v>625</v>
      </c>
      <c r="J39" s="1241" t="s">
        <v>577</v>
      </c>
      <c r="K39" s="1241" t="s">
        <v>626</v>
      </c>
      <c r="L39" s="1241" t="s">
        <v>553</v>
      </c>
      <c r="Q39" s="291"/>
      <c r="R39" s="291"/>
      <c r="S39" s="16132"/>
      <c r="T39" s="16084"/>
      <c r="U39" s="219"/>
      <c r="V39" s="1354" t="s">
        <v>653</v>
      </c>
      <c r="W39" s="1104" t="s">
        <v>654</v>
      </c>
      <c r="X39" s="1104" t="s">
        <v>629</v>
      </c>
      <c r="Y39" s="1360" t="s">
        <v>581</v>
      </c>
      <c r="Z39" s="16092" t="s">
        <v>582</v>
      </c>
      <c r="AA39" s="16094"/>
      <c r="AB39" s="16138"/>
      <c r="AC39" s="1354" t="s">
        <v>653</v>
      </c>
      <c r="AD39" s="1104" t="s">
        <v>654</v>
      </c>
      <c r="AE39" s="1104" t="s">
        <v>629</v>
      </c>
      <c r="AF39" s="1360" t="s">
        <v>581</v>
      </c>
      <c r="AG39" s="16092" t="s">
        <v>582</v>
      </c>
      <c r="AH39" s="16094"/>
      <c r="AI39" s="16138"/>
      <c r="AJ39" s="16141"/>
      <c r="AK39" s="15992"/>
    </row>
    <row r="40" spans="1:42" s="14405" customFormat="1" ht="0" hidden="1" customHeight="1">
      <c r="A40" s="1247"/>
      <c r="B40" s="1247"/>
      <c r="C40" s="1247"/>
      <c r="D40" s="1247"/>
      <c r="E40" s="1247"/>
      <c r="F40" s="1247"/>
      <c r="G40" s="1247"/>
      <c r="H40" s="1247"/>
      <c r="I40" s="1247"/>
      <c r="J40" s="1247"/>
      <c r="K40" s="1247"/>
      <c r="L40" s="1241"/>
      <c r="M40" s="1239"/>
      <c r="N40" s="1239"/>
      <c r="O40" s="1239"/>
      <c r="P40" s="1128"/>
      <c r="Q40" s="1129"/>
      <c r="R40" s="1136">
        <v>1</v>
      </c>
      <c r="S40" s="1159" t="s">
        <v>147</v>
      </c>
      <c r="T40" s="1137" t="s">
        <v>102</v>
      </c>
      <c r="U40" s="1127" t="str">
        <f ca="1">OFFSET(U40,0,-1)</f>
        <v>2</v>
      </c>
      <c r="V40" s="1353">
        <f ca="1">OFFSET(V40,0,-1)+1</f>
        <v>3</v>
      </c>
      <c r="W40" s="1353">
        <f ca="1">OFFSET(W40,0,-1)+1</f>
        <v>4</v>
      </c>
      <c r="X40" s="1353">
        <f ca="1">OFFSET(X40,0,-1)+1</f>
        <v>5</v>
      </c>
      <c r="Y40" s="1353">
        <f ca="1">OFFSET(Y40,0,-1)+1</f>
        <v>6</v>
      </c>
      <c r="Z40" s="16131">
        <f ca="1">OFFSET(Z40,0,-1)+1</f>
        <v>7</v>
      </c>
      <c r="AA40" s="16131"/>
      <c r="AB40" s="1353">
        <f ca="1">OFFSET(AB40,0,-2)+1</f>
        <v>8</v>
      </c>
      <c r="AC40" s="1353">
        <f ca="1">OFFSET(AC40,0,-1)+1</f>
        <v>9</v>
      </c>
      <c r="AD40" s="1353">
        <f ca="1">OFFSET(AD40,0,-1)+1</f>
        <v>10</v>
      </c>
      <c r="AE40" s="1353">
        <f ca="1">OFFSET(AE40,0,-1)+1</f>
        <v>11</v>
      </c>
      <c r="AF40" s="1353">
        <f ca="1">OFFSET(AF40,0,-1)+1</f>
        <v>12</v>
      </c>
      <c r="AG40" s="16131">
        <f ca="1">OFFSET(AG40,0,-1)+1</f>
        <v>13</v>
      </c>
      <c r="AH40" s="16131"/>
      <c r="AI40" s="1353">
        <f ca="1">OFFSET(AI40,0,-2)+1</f>
        <v>14</v>
      </c>
      <c r="AJ40" s="1127">
        <f ca="1">OFFSET(AJ40,0,-1)</f>
        <v>14</v>
      </c>
      <c r="AK40" s="1353">
        <f ca="1">OFFSET(AK40,0,-1)+1</f>
        <v>15</v>
      </c>
      <c r="AL40" s="418"/>
      <c r="AM40" s="418"/>
      <c r="AN40" s="418"/>
      <c r="AO40" s="418"/>
      <c r="AP40" s="418"/>
    </row>
    <row r="41" spans="1:42" ht="23.25" customHeight="1">
      <c r="A41" s="1240" t="s">
        <v>408</v>
      </c>
      <c r="B41" s="1240"/>
      <c r="C41" s="1240"/>
      <c r="D41" s="1240"/>
      <c r="E41" s="16124">
        <v>1</v>
      </c>
      <c r="F41" s="1240"/>
      <c r="G41" s="1240"/>
      <c r="H41" s="1240"/>
      <c r="I41" s="1240"/>
      <c r="J41" s="1240"/>
      <c r="K41" s="1240"/>
      <c r="L41" s="1241"/>
      <c r="M41" s="1242"/>
      <c r="N41" s="1242"/>
      <c r="O41" s="1242"/>
      <c r="P41" s="277"/>
      <c r="Q41" s="276"/>
      <c r="R41" s="271"/>
      <c r="S41" s="1364">
        <f>INDEX(PT_DIFFERENTIATION_NUM_NTAR,MATCH(A41,PT_DIFFERENTIATION_NTAR_ID,0))</f>
        <v>0</v>
      </c>
      <c r="T41" s="215" t="s">
        <v>158</v>
      </c>
      <c r="U41" s="217"/>
      <c r="V41" s="16110"/>
      <c r="W41" s="16111"/>
      <c r="X41" s="16111"/>
      <c r="Y41" s="16111"/>
      <c r="Z41" s="16111"/>
      <c r="AA41" s="16111"/>
      <c r="AB41" s="16112"/>
      <c r="AC41" s="16110" t="str">
        <f>INDEX(PT_DIFFERENTIATION_NTAR,MATCH(A41,PT_DIFFERENTIATION_NTAR_ID,0))</f>
        <v/>
      </c>
      <c r="AD41" s="16111"/>
      <c r="AE41" s="16111"/>
      <c r="AF41" s="16111"/>
      <c r="AG41" s="16111"/>
      <c r="AH41" s="16111"/>
      <c r="AI41" s="16111"/>
      <c r="AJ41" s="16112"/>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0" t="s">
        <v>408</v>
      </c>
      <c r="B42" s="1240" t="s">
        <v>409</v>
      </c>
      <c r="C42" s="1240"/>
      <c r="D42" s="1240"/>
      <c r="E42" s="16125"/>
      <c r="F42" s="16124">
        <v>1</v>
      </c>
      <c r="G42" s="1240"/>
      <c r="H42" s="1240"/>
      <c r="I42" s="1240"/>
      <c r="J42" s="1240"/>
      <c r="K42" s="1240"/>
      <c r="L42" s="1241"/>
      <c r="M42" s="1242"/>
      <c r="N42" s="1242"/>
      <c r="O42" s="1242"/>
      <c r="P42" s="1358"/>
      <c r="Q42" s="268"/>
      <c r="R42" s="269"/>
      <c r="S42" s="1364" t="str">
        <f>INDEX(PT_DIFFERENTIATION_NUM_TER,MATCH(B42,PT_DIFFERENTIATION_TER_ID,0))</f>
        <v>.</v>
      </c>
      <c r="T42" s="225" t="s">
        <v>534</v>
      </c>
      <c r="U42" s="217"/>
      <c r="V42" s="16110"/>
      <c r="W42" s="16111"/>
      <c r="X42" s="16111"/>
      <c r="Y42" s="16111"/>
      <c r="Z42" s="16111"/>
      <c r="AA42" s="16111"/>
      <c r="AB42" s="16112"/>
      <c r="AC42" s="16110" t="str">
        <f>INDEX(PT_DIFFERENTIATION_TER,MATCH(B42,PT_DIFFERENTIATION_TER_ID,0))</f>
        <v/>
      </c>
      <c r="AD42" s="16111"/>
      <c r="AE42" s="16111"/>
      <c r="AF42" s="16111"/>
      <c r="AG42" s="16111"/>
      <c r="AH42" s="16111"/>
      <c r="AI42" s="16111"/>
      <c r="AJ42" s="16112"/>
      <c r="AK42" s="1140" t="s">
        <v>535</v>
      </c>
      <c r="AM42" s="407"/>
      <c r="AN42" s="407" t="str">
        <f t="shared" si="1"/>
        <v>Территория действия тарифа</v>
      </c>
      <c r="AO42" s="407"/>
      <c r="AP42" s="407"/>
    </row>
    <row r="43" spans="1:42" ht="23.25" customHeight="1">
      <c r="A43" s="1240" t="s">
        <v>408</v>
      </c>
      <c r="B43" s="1240" t="s">
        <v>409</v>
      </c>
      <c r="C43" s="1240" t="s">
        <v>410</v>
      </c>
      <c r="D43" s="1240"/>
      <c r="E43" s="16125"/>
      <c r="F43" s="16125"/>
      <c r="G43" s="16124">
        <v>1</v>
      </c>
      <c r="H43" s="1240"/>
      <c r="I43" s="1240"/>
      <c r="J43" s="1240"/>
      <c r="K43" s="1240"/>
      <c r="L43" s="1241"/>
      <c r="M43" s="1242"/>
      <c r="N43" s="1242"/>
      <c r="O43" s="1242"/>
      <c r="P43" s="270"/>
      <c r="Q43" s="268"/>
      <c r="R43" s="269"/>
      <c r="S43" s="1364" t="str">
        <f>INDEX(PT_DIFFERENTIATION_NUM_CS,MATCH(C43,PT_DIFFERENTIATION_CS_ID,0))</f>
        <v>..</v>
      </c>
      <c r="T43" s="226" t="s">
        <v>651</v>
      </c>
      <c r="U43" s="217"/>
      <c r="V43" s="16110"/>
      <c r="W43" s="16111"/>
      <c r="X43" s="16111"/>
      <c r="Y43" s="16111"/>
      <c r="Z43" s="16111"/>
      <c r="AA43" s="16111"/>
      <c r="AB43" s="16112"/>
      <c r="AC43" s="16110" t="str">
        <f>INDEX(PT_DIFFERENTIATION_CS,MATCH(C43,PT_DIFFERENTIATION_CS_ID,0))</f>
        <v/>
      </c>
      <c r="AD43" s="16111"/>
      <c r="AE43" s="16111"/>
      <c r="AF43" s="16111"/>
      <c r="AG43" s="16111"/>
      <c r="AH43" s="16111"/>
      <c r="AI43" s="16111"/>
      <c r="AJ43" s="16112"/>
      <c r="AK43" s="1140" t="s">
        <v>652</v>
      </c>
      <c r="AM43" s="407"/>
      <c r="AN43" s="407" t="str">
        <f t="shared" si="1"/>
        <v>Наименование централизованной системы водоотведения</v>
      </c>
      <c r="AO43" s="407"/>
      <c r="AP43" s="407"/>
    </row>
    <row r="44" spans="1:42" ht="23.25" customHeight="1">
      <c r="A44" s="1240" t="s">
        <v>408</v>
      </c>
      <c r="B44" s="1240" t="s">
        <v>409</v>
      </c>
      <c r="C44" s="1240" t="s">
        <v>410</v>
      </c>
      <c r="D44" s="1240" t="s">
        <v>656</v>
      </c>
      <c r="E44" s="16125"/>
      <c r="F44" s="16125"/>
      <c r="G44" s="16125"/>
      <c r="H44" s="16125"/>
      <c r="I44" s="16122" t="str">
        <f>S43&amp;".1"</f>
        <v>...1</v>
      </c>
      <c r="J44" s="1240"/>
      <c r="K44" s="1240"/>
      <c r="L44" s="1241"/>
      <c r="P44" s="16123">
        <v>1</v>
      </c>
      <c r="Q44" s="1352"/>
      <c r="R44" s="272"/>
      <c r="S44" s="1364" t="str">
        <f>$I44</f>
        <v>...1</v>
      </c>
      <c r="T44" s="202" t="s">
        <v>618</v>
      </c>
      <c r="U44" s="217"/>
      <c r="V44" s="16183"/>
      <c r="W44" s="16184"/>
      <c r="X44" s="16184"/>
      <c r="Y44" s="16184"/>
      <c r="Z44" s="16184"/>
      <c r="AA44" s="16184"/>
      <c r="AB44" s="16185"/>
      <c r="AC44" s="16186"/>
      <c r="AD44" s="16187"/>
      <c r="AE44" s="16187"/>
      <c r="AF44" s="16187"/>
      <c r="AG44" s="16187"/>
      <c r="AH44" s="16187"/>
      <c r="AI44" s="16187"/>
      <c r="AJ44" s="16188"/>
      <c r="AK44" s="1140" t="s">
        <v>619</v>
      </c>
      <c r="AM44" s="407"/>
      <c r="AN44" s="407" t="str">
        <f t="shared" si="1"/>
        <v>Наименование признака дифференциации</v>
      </c>
      <c r="AO44" s="407"/>
      <c r="AP44" s="407"/>
    </row>
    <row r="45" spans="1:42" ht="23.25" customHeight="1">
      <c r="A45" s="1240" t="s">
        <v>408</v>
      </c>
      <c r="B45" s="1240" t="s">
        <v>409</v>
      </c>
      <c r="C45" s="1240" t="s">
        <v>410</v>
      </c>
      <c r="D45" s="1240" t="s">
        <v>656</v>
      </c>
      <c r="E45" s="16125"/>
      <c r="F45" s="16125"/>
      <c r="G45" s="16125"/>
      <c r="H45" s="16125"/>
      <c r="I45" s="16145"/>
      <c r="J45" s="16122" t="str">
        <f>I44&amp;".1"</f>
        <v>...1.1</v>
      </c>
      <c r="K45" s="1240"/>
      <c r="L45" s="1241" t="s">
        <v>543</v>
      </c>
      <c r="P45" s="16123"/>
      <c r="Q45" s="16123">
        <v>1</v>
      </c>
      <c r="R45" s="273"/>
      <c r="S45" s="1364" t="str">
        <f>$J45</f>
        <v>...1.1</v>
      </c>
      <c r="T45" s="203" t="s">
        <v>544</v>
      </c>
      <c r="U45" s="217"/>
      <c r="V45" s="16113"/>
      <c r="W45" s="16114"/>
      <c r="X45" s="16114"/>
      <c r="Y45" s="16114"/>
      <c r="Z45" s="16114"/>
      <c r="AA45" s="16114"/>
      <c r="AB45" s="16115"/>
      <c r="AC45" s="16113"/>
      <c r="AD45" s="16114"/>
      <c r="AE45" s="16114"/>
      <c r="AF45" s="16114"/>
      <c r="AG45" s="16114"/>
      <c r="AH45" s="16114"/>
      <c r="AI45" s="16114"/>
      <c r="AJ45" s="16115"/>
      <c r="AK45" s="1187" t="s">
        <v>620</v>
      </c>
      <c r="AM45" s="407"/>
      <c r="AN45" s="407" t="str">
        <f t="shared" si="1"/>
        <v>Группа потребителей</v>
      </c>
      <c r="AO45" s="407"/>
      <c r="AP45" s="407"/>
    </row>
    <row r="46" spans="1:42" ht="23.25" customHeight="1">
      <c r="A46" s="1240" t="s">
        <v>408</v>
      </c>
      <c r="B46" s="1240" t="s">
        <v>409</v>
      </c>
      <c r="C46" s="1240" t="s">
        <v>410</v>
      </c>
      <c r="D46" s="1240" t="s">
        <v>656</v>
      </c>
      <c r="E46" s="16125"/>
      <c r="F46" s="16125"/>
      <c r="G46" s="16125"/>
      <c r="H46" s="16125"/>
      <c r="I46" s="16145"/>
      <c r="J46" s="16145"/>
      <c r="K46" s="16122" t="str">
        <f>J45&amp;".1"</f>
        <v>...1.1.1</v>
      </c>
      <c r="L46" s="1241"/>
      <c r="P46" s="16123"/>
      <c r="Q46" s="16123"/>
      <c r="R46" s="273">
        <v>1</v>
      </c>
      <c r="S46" s="1364" t="str">
        <f>$K46</f>
        <v>...1.1.1</v>
      </c>
      <c r="T46" s="1313"/>
      <c r="U46" s="217"/>
      <c r="V46" s="1237"/>
      <c r="W46" s="1237"/>
      <c r="X46" s="1238"/>
      <c r="Y46" s="16129"/>
      <c r="Z46" s="16130" t="s">
        <v>66</v>
      </c>
      <c r="AA46" s="16129"/>
      <c r="AB46" s="16130" t="s">
        <v>66</v>
      </c>
      <c r="AC46" s="649"/>
      <c r="AD46" s="649"/>
      <c r="AE46" s="1139"/>
      <c r="AF46" s="16127"/>
      <c r="AG46" s="15973" t="s">
        <v>66</v>
      </c>
      <c r="AH46" s="16146"/>
      <c r="AI46" s="15973" t="s">
        <v>56</v>
      </c>
      <c r="AJ46" s="1314"/>
      <c r="AK46"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0" t="s">
        <v>408</v>
      </c>
      <c r="B47" s="1240" t="s">
        <v>409</v>
      </c>
      <c r="C47" s="1240" t="s">
        <v>410</v>
      </c>
      <c r="D47" s="1240" t="s">
        <v>656</v>
      </c>
      <c r="E47" s="16125"/>
      <c r="F47" s="16125"/>
      <c r="G47" s="16125"/>
      <c r="H47" s="16125"/>
      <c r="I47" s="16145"/>
      <c r="J47" s="16145"/>
      <c r="K47" s="16122"/>
      <c r="L47" s="1241"/>
      <c r="P47" s="16123"/>
      <c r="Q47" s="16123"/>
      <c r="R47" s="273"/>
      <c r="S47" s="1361"/>
      <c r="T47" s="217"/>
      <c r="U47" s="217"/>
      <c r="V47" s="1237"/>
      <c r="W47" s="1237"/>
      <c r="X47" s="245" t="str">
        <f>Y46&amp;"-"&amp;AA46</f>
        <v>-</v>
      </c>
      <c r="Y47" s="16130"/>
      <c r="Z47" s="16130"/>
      <c r="AA47" s="16130"/>
      <c r="AB47" s="16130"/>
      <c r="AC47" s="242"/>
      <c r="AD47" s="242"/>
      <c r="AE47" s="245" t="str">
        <f>AF46&amp;"-"&amp;AH46</f>
        <v>-</v>
      </c>
      <c r="AF47" s="16128"/>
      <c r="AG47" s="15973"/>
      <c r="AH47" s="16147"/>
      <c r="AI47" s="15973"/>
      <c r="AJ47" s="1315"/>
      <c r="AK47" s="16182"/>
      <c r="AM47" s="407"/>
      <c r="AN47" s="407" t="str">
        <f t="shared" si="1"/>
        <v/>
      </c>
      <c r="AO47" s="407"/>
      <c r="AP47" s="407"/>
    </row>
    <row r="48" spans="1:42" ht="21" customHeight="1">
      <c r="A48" s="1240" t="s">
        <v>408</v>
      </c>
      <c r="B48" s="1240" t="s">
        <v>409</v>
      </c>
      <c r="C48" s="1240" t="s">
        <v>410</v>
      </c>
      <c r="D48" s="1240" t="s">
        <v>656</v>
      </c>
      <c r="E48" s="16125"/>
      <c r="F48" s="16125"/>
      <c r="G48" s="16125"/>
      <c r="H48" s="16125"/>
      <c r="I48" s="16145"/>
      <c r="J48" s="16122"/>
      <c r="K48" s="1240"/>
      <c r="L48" s="1241"/>
      <c r="P48" s="16123"/>
      <c r="Q48" s="16123"/>
      <c r="R48" s="272"/>
      <c r="S48" s="1160"/>
      <c r="T48" s="204" t="s">
        <v>621</v>
      </c>
      <c r="U48" s="282"/>
      <c r="V48" s="282"/>
      <c r="W48" s="282"/>
      <c r="X48" s="282"/>
      <c r="Y48" s="282"/>
      <c r="Z48" s="282"/>
      <c r="AA48" s="282"/>
      <c r="AB48" s="282"/>
      <c r="AC48" s="282"/>
      <c r="AD48" s="282"/>
      <c r="AE48" s="282"/>
      <c r="AF48" s="282"/>
      <c r="AG48" s="282"/>
      <c r="AH48" s="282"/>
      <c r="AI48" s="282"/>
      <c r="AJ48" s="282"/>
      <c r="AK48" s="1140" t="s">
        <v>622</v>
      </c>
      <c r="AM48" s="407"/>
      <c r="AN48" s="407" t="str">
        <f t="shared" si="1"/>
        <v>Добавить значение признака дифференциации</v>
      </c>
      <c r="AO48" s="407"/>
      <c r="AP48" s="407"/>
    </row>
    <row r="49" spans="1:42" ht="21" customHeight="1">
      <c r="A49" s="1240" t="s">
        <v>408</v>
      </c>
      <c r="B49" s="1240" t="s">
        <v>409</v>
      </c>
      <c r="C49" s="1240" t="s">
        <v>410</v>
      </c>
      <c r="D49" s="1240" t="s">
        <v>656</v>
      </c>
      <c r="E49" s="16125"/>
      <c r="F49" s="16125"/>
      <c r="G49" s="16125"/>
      <c r="H49" s="16125"/>
      <c r="I49" s="16122"/>
      <c r="J49" s="1240"/>
      <c r="K49" s="1240"/>
      <c r="L49" s="1241"/>
      <c r="P49" s="16123"/>
      <c r="Q49" s="1352"/>
      <c r="R49" s="272"/>
      <c r="S49" s="1160"/>
      <c r="T49" s="280" t="s">
        <v>549</v>
      </c>
      <c r="U49" s="282"/>
      <c r="V49" s="282"/>
      <c r="W49" s="282"/>
      <c r="X49" s="282"/>
      <c r="Y49" s="282"/>
      <c r="Z49" s="282"/>
      <c r="AA49" s="282"/>
      <c r="AB49" s="281"/>
      <c r="AC49" s="282"/>
      <c r="AD49" s="282"/>
      <c r="AE49" s="282"/>
      <c r="AF49" s="282"/>
      <c r="AG49" s="282"/>
      <c r="AH49" s="282"/>
      <c r="AI49" s="281"/>
      <c r="AJ49" s="282"/>
      <c r="AK49" s="1316"/>
      <c r="AM49" s="407"/>
      <c r="AN49" s="407" t="str">
        <f t="shared" si="1"/>
        <v>Добавить группу потребителей</v>
      </c>
      <c r="AO49" s="407"/>
      <c r="AP49" s="407"/>
    </row>
    <row r="50" spans="1:42" ht="21" customHeight="1">
      <c r="A50" s="1240" t="s">
        <v>408</v>
      </c>
      <c r="B50" s="1240" t="s">
        <v>409</v>
      </c>
      <c r="C50" s="1240" t="s">
        <v>410</v>
      </c>
      <c r="D50" s="1240" t="s">
        <v>656</v>
      </c>
      <c r="E50" s="16125"/>
      <c r="F50" s="16125"/>
      <c r="G50" s="16125"/>
      <c r="H50" s="16124"/>
      <c r="I50" s="1240"/>
      <c r="J50" s="1240"/>
      <c r="K50" s="1240"/>
      <c r="L50" s="1241"/>
      <c r="M50" s="1242"/>
      <c r="N50" s="1242"/>
      <c r="O50" s="443"/>
      <c r="P50" s="276"/>
      <c r="Q50" s="290"/>
      <c r="R50" s="271"/>
      <c r="S50" s="1160"/>
      <c r="T50" s="287" t="s">
        <v>623</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4418" customFormat="1" ht="0" hidden="1" customHeight="1">
      <c r="A51" s="1221" t="s">
        <v>408</v>
      </c>
      <c r="B51" s="1221" t="s">
        <v>409</v>
      </c>
      <c r="C51" s="1193"/>
      <c r="D51" s="1193"/>
      <c r="E51" s="16125"/>
      <c r="F51" s="16124"/>
      <c r="G51" s="1193"/>
      <c r="H51" s="1193"/>
      <c r="I51" s="1193"/>
      <c r="J51" s="1193"/>
      <c r="K51" s="1193"/>
      <c r="L51" s="1365"/>
      <c r="M51" s="1200"/>
      <c r="N51" s="1200"/>
      <c r="P51" s="1195"/>
      <c r="Q51" s="1196"/>
      <c r="R51" s="1195"/>
      <c r="S51" s="1201"/>
      <c r="T51" s="1204" t="s">
        <v>290</v>
      </c>
      <c r="U51" s="1203"/>
      <c r="V51" s="1203"/>
      <c r="W51" s="1203"/>
      <c r="X51" s="1203"/>
      <c r="Y51" s="1203"/>
      <c r="Z51" s="1203"/>
      <c r="AA51" s="1203"/>
      <c r="AB51" s="1203"/>
      <c r="AC51" s="1203"/>
      <c r="AD51" s="1203"/>
      <c r="AE51" s="1203"/>
      <c r="AF51" s="1203"/>
      <c r="AG51" s="1203"/>
      <c r="AH51" s="1203"/>
      <c r="AI51" s="1203"/>
      <c r="AJ51" s="1203"/>
      <c r="AK51" s="1203"/>
      <c r="AM51" s="687"/>
      <c r="AN51" s="687" t="str">
        <f t="shared" si="1"/>
        <v>Добавить централизованную систему для дифференциации</v>
      </c>
      <c r="AO51" s="687"/>
      <c r="AP51" s="687"/>
    </row>
    <row r="52" spans="1:42" s="14421" customFormat="1" ht="0" hidden="1" customHeight="1">
      <c r="A52" s="1221" t="s">
        <v>408</v>
      </c>
      <c r="B52" s="1221"/>
      <c r="C52" s="1221"/>
      <c r="D52" s="1221"/>
      <c r="E52" s="16124"/>
      <c r="F52" s="1221"/>
      <c r="G52" s="1221"/>
      <c r="H52" s="1221"/>
      <c r="I52" s="1221"/>
      <c r="J52" s="1221"/>
      <c r="K52" s="1221"/>
      <c r="L52" s="1224"/>
      <c r="M52" s="1200"/>
      <c r="N52" s="1200"/>
      <c r="O52" s="425"/>
      <c r="P52" s="295"/>
      <c r="Q52" s="1222"/>
      <c r="R52" s="295"/>
      <c r="S52" s="1201"/>
      <c r="T52" s="1204" t="s">
        <v>326</v>
      </c>
      <c r="U52" s="1203"/>
      <c r="V52" s="1203"/>
      <c r="W52" s="1203"/>
      <c r="X52" s="1203"/>
      <c r="Y52" s="1203"/>
      <c r="Z52" s="1203"/>
      <c r="AA52" s="1203"/>
      <c r="AB52" s="1203"/>
      <c r="AC52" s="1203"/>
      <c r="AD52" s="1203"/>
      <c r="AE52" s="1203"/>
      <c r="AF52" s="1203"/>
      <c r="AG52" s="1203"/>
      <c r="AH52" s="1203"/>
      <c r="AI52" s="1203"/>
      <c r="AJ52" s="1203"/>
      <c r="AK52" s="1203"/>
      <c r="AM52" s="407"/>
      <c r="AN52" s="407" t="str">
        <f t="shared" si="1"/>
        <v>Добавить территорию для дифференциации</v>
      </c>
      <c r="AO52" s="407"/>
      <c r="AP52" s="407"/>
    </row>
    <row r="53" spans="1:42" s="14418" customFormat="1" ht="0" hidden="1" customHeight="1">
      <c r="A53" s="1193"/>
      <c r="B53" s="1193"/>
      <c r="C53" s="1193"/>
      <c r="D53" s="1193"/>
      <c r="E53" s="1221"/>
      <c r="F53" s="1193"/>
      <c r="G53" s="1193"/>
      <c r="H53" s="1193"/>
      <c r="I53" s="1193"/>
      <c r="J53" s="1193"/>
      <c r="K53" s="1193"/>
      <c r="L53" s="1365"/>
      <c r="M53" s="1200"/>
      <c r="N53" s="1200"/>
      <c r="P53" s="1195"/>
      <c r="Q53" s="1196"/>
      <c r="R53" s="1195"/>
      <c r="S53" s="1201"/>
      <c r="T53" s="1204" t="s">
        <v>390</v>
      </c>
      <c r="U53" s="1203"/>
      <c r="V53" s="1203"/>
      <c r="W53" s="1203"/>
      <c r="X53" s="1203"/>
      <c r="Y53" s="1203"/>
      <c r="Z53" s="1203"/>
      <c r="AA53" s="1203"/>
      <c r="AB53" s="1203"/>
      <c r="AC53" s="1203"/>
      <c r="AD53" s="1203"/>
      <c r="AE53" s="1203"/>
      <c r="AF53" s="1203"/>
      <c r="AG53" s="1203"/>
      <c r="AH53" s="1203"/>
      <c r="AI53" s="1203"/>
      <c r="AJ53" s="1203"/>
      <c r="AK53" s="1203"/>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5"/>
      <c r="T55" s="16144"/>
      <c r="U55" s="16144"/>
      <c r="V55" s="16144"/>
      <c r="W55" s="16144"/>
      <c r="X55" s="16144"/>
      <c r="Y55" s="16144"/>
      <c r="Z55" s="16144"/>
      <c r="AA55" s="16144"/>
      <c r="AB55" s="16144"/>
      <c r="AC55" s="16144"/>
      <c r="AD55" s="16144"/>
      <c r="AE55" s="16144"/>
      <c r="AF55" s="16144"/>
      <c r="AG55" s="16144"/>
      <c r="AH55" s="16144"/>
      <c r="AI55" s="16144"/>
      <c r="AJ55" s="16144"/>
      <c r="AK55" s="16144"/>
    </row>
    <row r="56" spans="1:42" ht="14.25" customHeight="1">
      <c r="O56" s="443"/>
    </row>
    <row r="57" spans="1:42" ht="14.25" customHeight="1">
      <c r="O57" s="443"/>
      <c r="S57" s="1135"/>
      <c r="T57" s="16144"/>
      <c r="U57" s="16144"/>
      <c r="V57" s="16144"/>
      <c r="W57" s="16144"/>
      <c r="X57" s="16144"/>
      <c r="Y57" s="16144"/>
      <c r="Z57" s="16144"/>
      <c r="AA57" s="16144"/>
      <c r="AB57" s="16144"/>
      <c r="AC57" s="16144"/>
      <c r="AD57" s="16144"/>
      <c r="AE57" s="16144"/>
      <c r="AF57" s="16144"/>
      <c r="AG57" s="16144"/>
      <c r="AH57" s="16144"/>
      <c r="AI57" s="16144"/>
      <c r="AJ57" s="16144"/>
      <c r="AK57" s="1614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4419" hidden="1" customWidth="1"/>
    <col min="2" max="2" width="11" style="14419" hidden="1" customWidth="1"/>
    <col min="3" max="3" width="10.5703125" style="14419" hidden="1"/>
    <col min="4" max="4" width="12.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2" style="14419" hidden="1" customWidth="1"/>
    <col min="10" max="10" width="9.85546875" style="14419" hidden="1" customWidth="1"/>
    <col min="11" max="11" width="11.42578125" style="14419" hidden="1" customWidth="1"/>
    <col min="12" max="12" width="19.140625" style="14445" hidden="1" customWidth="1"/>
    <col min="13" max="14" width="12.28515625" style="14423" hidden="1" customWidth="1"/>
    <col min="15" max="15" width="23.42578125" style="14423" hidden="1" customWidth="1"/>
    <col min="16" max="16" width="3.7109375" style="14423" hidden="1" customWidth="1"/>
    <col min="17" max="17" width="3.7109375" style="14439" hidden="1" customWidth="1"/>
    <col min="18" max="18" width="3.7109375" style="14425" customWidth="1"/>
    <col min="19" max="19" width="12.7109375" style="14426" customWidth="1"/>
    <col min="20" max="20" width="32" style="14427" customWidth="1"/>
    <col min="21" max="21" width="0.140625" style="14427" customWidth="1"/>
    <col min="22" max="25" width="21.7109375" style="14427" hidden="1" customWidth="1"/>
    <col min="26" max="26" width="11.7109375" style="14427" hidden="1" customWidth="1"/>
    <col min="27" max="27" width="3.7109375" style="14427" hidden="1" customWidth="1"/>
    <col min="28" max="28" width="11.7109375" style="14427" hidden="1" customWidth="1"/>
    <col min="29" max="29" width="8.5703125" style="14427" hidden="1" customWidth="1"/>
    <col min="30" max="32" width="3.7109375" style="14427" customWidth="1"/>
    <col min="33" max="33" width="24.7109375" style="14427" customWidth="1"/>
    <col min="34" max="36" width="3.7109375" style="14427" customWidth="1"/>
    <col min="37" max="37" width="24.7109375" style="14427" customWidth="1"/>
    <col min="38" max="40" width="3.7109375" style="14427" customWidth="1"/>
    <col min="41" max="41" width="18.85546875" style="14427" customWidth="1"/>
    <col min="42" max="44" width="3.7109375" style="14427" customWidth="1"/>
    <col min="45" max="45" width="18.85546875" style="14427" customWidth="1"/>
    <col min="46" max="49" width="21.7109375" style="14427" customWidth="1"/>
    <col min="50" max="50" width="11.7109375" style="14427" customWidth="1"/>
    <col min="51" max="51" width="3.7109375" style="14427" customWidth="1"/>
    <col min="52" max="52" width="11.7109375" style="14427" customWidth="1"/>
    <col min="53" max="53" width="8.5703125" style="14427" hidden="1" customWidth="1"/>
    <col min="54" max="54" width="4.7109375" style="14427" customWidth="1"/>
    <col min="55" max="55" width="115.7109375" style="14427" customWidth="1"/>
    <col min="56" max="57" width="10.5703125" style="14421"/>
    <col min="58" max="58" width="11.140625" style="14421" customWidth="1"/>
    <col min="59" max="60" width="10.5703125" style="14421"/>
  </cols>
  <sheetData>
    <row r="1" spans="1:60" ht="14.25" hidden="1" customHeight="1">
      <c r="W1" s="244"/>
      <c r="Y1" s="244"/>
      <c r="Z1" s="244"/>
      <c r="AW1" s="244"/>
      <c r="AX1" s="244"/>
    </row>
    <row r="2" spans="1:60" ht="21" hidden="1" customHeight="1">
      <c r="A2" s="1240"/>
      <c r="B2" s="1240"/>
      <c r="C2" s="1240"/>
      <c r="D2" s="1240"/>
      <c r="E2" s="16124">
        <v>1</v>
      </c>
      <c r="F2" s="1240"/>
      <c r="G2" s="1240"/>
      <c r="H2" s="1240"/>
      <c r="I2" s="1240"/>
      <c r="J2" s="1240"/>
      <c r="K2" s="1240"/>
      <c r="L2" s="1241"/>
      <c r="M2" s="1242"/>
      <c r="N2" s="1242"/>
      <c r="O2" s="1242"/>
      <c r="P2" s="1286"/>
      <c r="Q2" s="767"/>
      <c r="R2" s="271"/>
      <c r="S2" s="1364" t="e">
        <f>INDEX(PT_DIFFERENTIATION_NUM_NTAR,MATCH(A2,PT_DIFFERENTIATION_NTAR_ID,0))</f>
        <v>#N/A</v>
      </c>
      <c r="T2" s="215" t="s">
        <v>158</v>
      </c>
      <c r="U2" s="217"/>
      <c r="V2" s="16111"/>
      <c r="W2" s="16111"/>
      <c r="X2" s="16111"/>
      <c r="Y2" s="16111"/>
      <c r="Z2" s="16111"/>
      <c r="AA2" s="16111"/>
      <c r="AB2" s="16111"/>
      <c r="AC2" s="16112"/>
      <c r="AD2" s="16110" t="e">
        <f>INDEX(PT_DIFFERENTIATION_NTAR,MATCH(A2,PT_DIFFERENTIATION_NTAR_ID,0))</f>
        <v>#N/A</v>
      </c>
      <c r="AE2" s="16111"/>
      <c r="AF2" s="16111"/>
      <c r="AG2" s="16111"/>
      <c r="AH2" s="16111"/>
      <c r="AI2" s="16111"/>
      <c r="AJ2" s="16111"/>
      <c r="AK2" s="16111"/>
      <c r="AL2" s="16111"/>
      <c r="AM2" s="16111"/>
      <c r="AN2" s="16111"/>
      <c r="AO2" s="16111"/>
      <c r="AP2" s="16111"/>
      <c r="AQ2" s="16111"/>
      <c r="AR2" s="16111"/>
      <c r="AS2" s="16111"/>
      <c r="AT2" s="16111"/>
      <c r="AU2" s="16111"/>
      <c r="AV2" s="16111"/>
      <c r="AW2" s="16111"/>
      <c r="AX2" s="16111"/>
      <c r="AY2" s="16111"/>
      <c r="AZ2" s="16111"/>
      <c r="BA2" s="16111"/>
      <c r="BB2" s="16112"/>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0"/>
      <c r="B3" s="1240"/>
      <c r="C3" s="1240"/>
      <c r="D3" s="1240"/>
      <c r="E3" s="16125"/>
      <c r="F3" s="16124">
        <v>1</v>
      </c>
      <c r="G3" s="1240"/>
      <c r="H3" s="1240"/>
      <c r="I3" s="1240"/>
      <c r="J3" s="1240"/>
      <c r="K3" s="1240"/>
      <c r="L3" s="1241"/>
      <c r="M3" s="1242"/>
      <c r="N3" s="1242"/>
      <c r="O3" s="1242"/>
      <c r="P3" s="1287"/>
      <c r="Q3" s="1288"/>
      <c r="R3" s="269"/>
      <c r="S3" s="1364" t="e">
        <f>INDEX(PT_DIFFERENTIATION_NUM_TER,MATCH(B3,PT_DIFFERENTIATION_TER_ID,0))</f>
        <v>#N/A</v>
      </c>
      <c r="T3" s="225" t="s">
        <v>534</v>
      </c>
      <c r="U3" s="217"/>
      <c r="V3" s="16111"/>
      <c r="W3" s="16111"/>
      <c r="X3" s="16111"/>
      <c r="Y3" s="16111"/>
      <c r="Z3" s="16111"/>
      <c r="AA3" s="16111"/>
      <c r="AB3" s="16111"/>
      <c r="AC3" s="16112"/>
      <c r="AD3" s="16110" t="e">
        <f>INDEX(PT_DIFFERENTIATION_TER,MATCH(B3,PT_DIFFERENTIATION_TER_ID,0))</f>
        <v>#N/A</v>
      </c>
      <c r="AE3" s="16111"/>
      <c r="AF3" s="16111"/>
      <c r="AG3" s="16111"/>
      <c r="AH3" s="16111"/>
      <c r="AI3" s="16111"/>
      <c r="AJ3" s="16111"/>
      <c r="AK3" s="16111"/>
      <c r="AL3" s="16111"/>
      <c r="AM3" s="16111"/>
      <c r="AN3" s="16111"/>
      <c r="AO3" s="16111"/>
      <c r="AP3" s="16111"/>
      <c r="AQ3" s="16111"/>
      <c r="AR3" s="16111"/>
      <c r="AS3" s="16111"/>
      <c r="AT3" s="16111"/>
      <c r="AU3" s="16111"/>
      <c r="AV3" s="16111"/>
      <c r="AW3" s="16111"/>
      <c r="AX3" s="16111"/>
      <c r="AY3" s="16111"/>
      <c r="AZ3" s="16111"/>
      <c r="BA3" s="16111"/>
      <c r="BB3" s="16112"/>
      <c r="BC3" s="1140" t="s">
        <v>535</v>
      </c>
      <c r="BE3" s="407"/>
      <c r="BF3" s="407" t="str">
        <f t="shared" si="0"/>
        <v>Территория действия тарифа</v>
      </c>
      <c r="BG3" s="407"/>
      <c r="BH3" s="407"/>
    </row>
    <row r="4" spans="1:60" ht="33.75" hidden="1" customHeight="1">
      <c r="A4" s="1240"/>
      <c r="B4" s="1240"/>
      <c r="C4" s="1240"/>
      <c r="D4" s="1240"/>
      <c r="E4" s="16125"/>
      <c r="F4" s="16125"/>
      <c r="G4" s="16124">
        <v>1</v>
      </c>
      <c r="H4" s="1240"/>
      <c r="I4" s="1240"/>
      <c r="J4" s="1240"/>
      <c r="K4" s="1240"/>
      <c r="L4" s="1241"/>
      <c r="M4" s="1242"/>
      <c r="N4" s="1242"/>
      <c r="O4" s="1242"/>
      <c r="P4" s="1289"/>
      <c r="Q4" s="1288"/>
      <c r="R4" s="269"/>
      <c r="S4" s="1364" t="e">
        <f>INDEX(PT_DIFFERENTIATION_NUM_CS,MATCH(C4,PT_DIFFERENTIATION_CS_ID,0))</f>
        <v>#N/A</v>
      </c>
      <c r="T4" s="226" t="s">
        <v>651</v>
      </c>
      <c r="U4" s="217"/>
      <c r="V4" s="16111"/>
      <c r="W4" s="16111"/>
      <c r="X4" s="16111"/>
      <c r="Y4" s="16111"/>
      <c r="Z4" s="16111"/>
      <c r="AA4" s="16111"/>
      <c r="AB4" s="16111"/>
      <c r="AC4" s="16112"/>
      <c r="AD4" s="16110" t="e">
        <f>INDEX(PT_DIFFERENTIATION_CS,MATCH(C4,PT_DIFFERENTIATION_CS_ID,0))</f>
        <v>#N/A</v>
      </c>
      <c r="AE4" s="16111"/>
      <c r="AF4" s="16111"/>
      <c r="AG4" s="16111"/>
      <c r="AH4" s="16111"/>
      <c r="AI4" s="16111"/>
      <c r="AJ4" s="16111"/>
      <c r="AK4" s="16111"/>
      <c r="AL4" s="16111"/>
      <c r="AM4" s="16111"/>
      <c r="AN4" s="16111"/>
      <c r="AO4" s="16111"/>
      <c r="AP4" s="16111"/>
      <c r="AQ4" s="16111"/>
      <c r="AR4" s="16111"/>
      <c r="AS4" s="16111"/>
      <c r="AT4" s="16111"/>
      <c r="AU4" s="16111"/>
      <c r="AV4" s="16111"/>
      <c r="AW4" s="16111"/>
      <c r="AX4" s="16111"/>
      <c r="AY4" s="16111"/>
      <c r="AZ4" s="16111"/>
      <c r="BA4" s="16111"/>
      <c r="BB4" s="16112"/>
      <c r="BC4" s="1140" t="s">
        <v>652</v>
      </c>
      <c r="BE4" s="407"/>
      <c r="BF4" s="407" t="str">
        <f t="shared" si="0"/>
        <v>Наименование централизованной системы водоотведения</v>
      </c>
      <c r="BG4" s="407"/>
      <c r="BH4" s="407"/>
    </row>
    <row r="5" spans="1:60" s="14421" customFormat="1" ht="14.25" hidden="1" customHeight="1">
      <c r="A5" s="1221"/>
      <c r="B5" s="1221"/>
      <c r="C5" s="1221"/>
      <c r="D5" s="1221"/>
      <c r="E5" s="16125"/>
      <c r="F5" s="16125"/>
      <c r="G5" s="16125"/>
      <c r="H5" s="16124">
        <v>1</v>
      </c>
      <c r="I5" s="1221"/>
      <c r="J5" s="1221"/>
      <c r="K5" s="1221"/>
      <c r="L5" s="1224"/>
      <c r="M5" s="1194"/>
      <c r="N5" s="1194"/>
      <c r="O5" s="1194"/>
      <c r="P5" s="1368"/>
      <c r="Q5" s="1369"/>
      <c r="R5" s="273"/>
      <c r="S5" s="930"/>
      <c r="T5" s="1370"/>
      <c r="U5" s="1261"/>
      <c r="V5" s="16154"/>
      <c r="W5" s="16154"/>
      <c r="X5" s="16154"/>
      <c r="Y5" s="16154"/>
      <c r="Z5" s="16154"/>
      <c r="AA5" s="16154"/>
      <c r="AB5" s="16154"/>
      <c r="AC5" s="16155"/>
      <c r="AD5" s="16153"/>
      <c r="AE5" s="16154"/>
      <c r="AF5" s="16154"/>
      <c r="AG5" s="16154"/>
      <c r="AH5" s="16154"/>
      <c r="AI5" s="16154"/>
      <c r="AJ5" s="16154"/>
      <c r="AK5" s="16154"/>
      <c r="AL5" s="16154"/>
      <c r="AM5" s="16154"/>
      <c r="AN5" s="16154"/>
      <c r="AO5" s="16154"/>
      <c r="AP5" s="16154"/>
      <c r="AQ5" s="16154"/>
      <c r="AR5" s="16154"/>
      <c r="AS5" s="16154"/>
      <c r="AT5" s="16154"/>
      <c r="AU5" s="16154"/>
      <c r="AV5" s="16154"/>
      <c r="AW5" s="16154"/>
      <c r="AX5" s="16154"/>
      <c r="AY5" s="16154"/>
      <c r="AZ5" s="16154"/>
      <c r="BA5" s="16154"/>
      <c r="BB5" s="16155"/>
      <c r="BC5" s="1262" t="s">
        <v>539</v>
      </c>
      <c r="BE5" s="407"/>
      <c r="BF5" s="407" t="str">
        <f t="shared" si="0"/>
        <v/>
      </c>
      <c r="BG5" s="407"/>
      <c r="BH5" s="407"/>
    </row>
    <row r="6" spans="1:60" s="14421" customFormat="1" ht="14.25" hidden="1" customHeight="1">
      <c r="A6" s="1221"/>
      <c r="B6" s="1221"/>
      <c r="C6" s="1221"/>
      <c r="D6" s="1221"/>
      <c r="E6" s="16125"/>
      <c r="F6" s="16125"/>
      <c r="G6" s="16125"/>
      <c r="H6" s="16125"/>
      <c r="I6" s="16122" t="str">
        <f>S5&amp;".1"</f>
        <v>.1</v>
      </c>
      <c r="J6" s="1221"/>
      <c r="K6" s="1221"/>
      <c r="L6" s="1224" t="s">
        <v>540</v>
      </c>
      <c r="M6" s="417"/>
      <c r="N6" s="417"/>
      <c r="O6" s="417"/>
      <c r="P6" s="16123">
        <v>1</v>
      </c>
      <c r="Q6" s="1352"/>
      <c r="R6" s="272"/>
      <c r="S6" s="930"/>
      <c r="T6" s="1260"/>
      <c r="U6" s="1261"/>
      <c r="V6" s="16154"/>
      <c r="W6" s="16154"/>
      <c r="X6" s="16154"/>
      <c r="Y6" s="16154"/>
      <c r="Z6" s="16154"/>
      <c r="AA6" s="16154"/>
      <c r="AB6" s="16154"/>
      <c r="AC6" s="16155"/>
      <c r="AD6" s="16153"/>
      <c r="AE6" s="16154"/>
      <c r="AF6" s="16154"/>
      <c r="AG6" s="16154"/>
      <c r="AH6" s="16154"/>
      <c r="AI6" s="16154"/>
      <c r="AJ6" s="16154"/>
      <c r="AK6" s="16154"/>
      <c r="AL6" s="16154"/>
      <c r="AM6" s="16154"/>
      <c r="AN6" s="16154"/>
      <c r="AO6" s="16154"/>
      <c r="AP6" s="16154"/>
      <c r="AQ6" s="16154"/>
      <c r="AR6" s="16154"/>
      <c r="AS6" s="16154"/>
      <c r="AT6" s="16154"/>
      <c r="AU6" s="16154"/>
      <c r="AV6" s="16154"/>
      <c r="AW6" s="16154"/>
      <c r="AX6" s="16154"/>
      <c r="AY6" s="16154"/>
      <c r="AZ6" s="16154"/>
      <c r="BA6" s="16154"/>
      <c r="BB6" s="16155"/>
      <c r="BC6" s="1262"/>
      <c r="BE6" s="407"/>
      <c r="BF6" s="407" t="str">
        <f t="shared" si="0"/>
        <v/>
      </c>
      <c r="BG6" s="407"/>
      <c r="BH6" s="407"/>
    </row>
    <row r="7" spans="1:60" s="14421" customFormat="1" ht="14.25" hidden="1" customHeight="1">
      <c r="A7" s="1221"/>
      <c r="B7" s="1221"/>
      <c r="C7" s="1221"/>
      <c r="D7" s="1221"/>
      <c r="E7" s="16125"/>
      <c r="F7" s="16125"/>
      <c r="G7" s="16125"/>
      <c r="H7" s="16125"/>
      <c r="I7" s="16145"/>
      <c r="J7" s="16122" t="str">
        <f>S5&amp;".1"</f>
        <v>.1</v>
      </c>
      <c r="K7" s="1221"/>
      <c r="L7" s="1224"/>
      <c r="M7" s="417"/>
      <c r="N7" s="417"/>
      <c r="O7" s="417"/>
      <c r="P7" s="16123"/>
      <c r="Q7" s="16123">
        <v>1</v>
      </c>
      <c r="R7" s="273"/>
      <c r="S7" s="930"/>
      <c r="T7" s="1276"/>
      <c r="U7" s="1261"/>
      <c r="V7" s="16154"/>
      <c r="W7" s="16154"/>
      <c r="X7" s="16154"/>
      <c r="Y7" s="16154"/>
      <c r="Z7" s="16154"/>
      <c r="AA7" s="16154"/>
      <c r="AB7" s="16154"/>
      <c r="AC7" s="16155"/>
      <c r="AD7" s="16153"/>
      <c r="AE7" s="16154"/>
      <c r="AF7" s="16154"/>
      <c r="AG7" s="16154"/>
      <c r="AH7" s="16154"/>
      <c r="AI7" s="16154"/>
      <c r="AJ7" s="16154"/>
      <c r="AK7" s="16154"/>
      <c r="AL7" s="16154"/>
      <c r="AM7" s="16154"/>
      <c r="AN7" s="16154"/>
      <c r="AO7" s="16154"/>
      <c r="AP7" s="16154"/>
      <c r="AQ7" s="16154"/>
      <c r="AR7" s="16154"/>
      <c r="AS7" s="16154"/>
      <c r="AT7" s="16154"/>
      <c r="AU7" s="16154"/>
      <c r="AV7" s="16154"/>
      <c r="AW7" s="16154"/>
      <c r="AX7" s="16154"/>
      <c r="AY7" s="16154"/>
      <c r="AZ7" s="16154"/>
      <c r="BA7" s="16154"/>
      <c r="BB7" s="16155"/>
      <c r="BC7" s="1262"/>
      <c r="BE7" s="407"/>
      <c r="BF7" s="407" t="str">
        <f t="shared" si="0"/>
        <v/>
      </c>
      <c r="BG7" s="407"/>
      <c r="BH7" s="407"/>
    </row>
    <row r="8" spans="1:60" ht="11.25" hidden="1" customHeight="1">
      <c r="A8" s="1240"/>
      <c r="B8" s="1240"/>
      <c r="C8" s="1240"/>
      <c r="D8" s="1240"/>
      <c r="E8" s="16125"/>
      <c r="F8" s="16125"/>
      <c r="G8" s="16125"/>
      <c r="H8" s="16125"/>
      <c r="I8" s="16145"/>
      <c r="J8" s="16145"/>
      <c r="K8" s="16122" t="e">
        <f>S4&amp;".1"</f>
        <v>#N/A</v>
      </c>
      <c r="L8" s="1241"/>
      <c r="P8" s="16123"/>
      <c r="Q8" s="16123"/>
      <c r="R8" s="16180">
        <v>1</v>
      </c>
      <c r="S8" s="16174" t="e">
        <f>$K8</f>
        <v>#N/A</v>
      </c>
      <c r="T8" s="16193"/>
      <c r="U8" s="217"/>
      <c r="V8" s="649"/>
      <c r="W8" s="1139"/>
      <c r="X8" s="649"/>
      <c r="Y8" s="1139"/>
      <c r="Z8" s="1596"/>
      <c r="AA8" s="1341" t="s">
        <v>66</v>
      </c>
      <c r="AB8" s="1596"/>
      <c r="AC8" s="1341" t="s">
        <v>66</v>
      </c>
      <c r="AD8" s="16044" t="s">
        <v>66</v>
      </c>
      <c r="AE8" s="16160"/>
      <c r="AF8" s="16080">
        <v>1</v>
      </c>
      <c r="AG8" s="16197"/>
      <c r="AH8" s="15973" t="s">
        <v>66</v>
      </c>
      <c r="AI8" s="16160"/>
      <c r="AJ8" s="16080">
        <v>1</v>
      </c>
      <c r="AK8" s="16196" t="s">
        <v>24</v>
      </c>
      <c r="AL8" s="15973" t="s">
        <v>66</v>
      </c>
      <c r="AM8" s="16070"/>
      <c r="AN8" s="16080">
        <v>1</v>
      </c>
      <c r="AO8" s="16190"/>
      <c r="AP8" s="16191" t="s">
        <v>66</v>
      </c>
      <c r="AQ8" s="228"/>
      <c r="AR8" s="1357">
        <v>1</v>
      </c>
      <c r="AS8" s="1363" t="s">
        <v>24</v>
      </c>
      <c r="AT8" s="649"/>
      <c r="AU8" s="1139"/>
      <c r="AV8" s="649"/>
      <c r="AW8" s="1139"/>
      <c r="AX8" s="1596"/>
      <c r="AY8" s="1341" t="s">
        <v>66</v>
      </c>
      <c r="AZ8" s="1596"/>
      <c r="BA8" s="1341" t="s">
        <v>66</v>
      </c>
      <c r="BB8" s="1226"/>
      <c r="BC8" s="16119" t="s">
        <v>636</v>
      </c>
      <c r="BE8" s="407"/>
      <c r="BF8" s="407" t="str">
        <f t="shared" si="0"/>
        <v/>
      </c>
      <c r="BG8" s="407"/>
      <c r="BH8" s="407"/>
    </row>
    <row r="9" spans="1:60" ht="11.25" hidden="1" customHeight="1">
      <c r="A9" s="1240"/>
      <c r="B9" s="1240"/>
      <c r="C9" s="1240"/>
      <c r="D9" s="1240"/>
      <c r="E9" s="16125"/>
      <c r="F9" s="16125"/>
      <c r="G9" s="16125"/>
      <c r="H9" s="16125"/>
      <c r="I9" s="16145"/>
      <c r="J9" s="16145"/>
      <c r="K9" s="16122"/>
      <c r="L9" s="1241"/>
      <c r="P9" s="16123"/>
      <c r="Q9" s="16123"/>
      <c r="R9" s="16180"/>
      <c r="S9" s="16175"/>
      <c r="T9" s="16194"/>
      <c r="U9" s="217"/>
      <c r="V9" s="1270"/>
      <c r="W9" s="1367"/>
      <c r="X9" s="1270"/>
      <c r="Y9" s="1367"/>
      <c r="Z9" s="1270"/>
      <c r="AA9" s="1270"/>
      <c r="AB9" s="1270"/>
      <c r="AC9" s="1270"/>
      <c r="AD9" s="16045"/>
      <c r="AE9" s="16160"/>
      <c r="AF9" s="16080"/>
      <c r="AG9" s="16197"/>
      <c r="AH9" s="15973"/>
      <c r="AI9" s="16160"/>
      <c r="AJ9" s="16080"/>
      <c r="AK9" s="16196"/>
      <c r="AL9" s="15973"/>
      <c r="AM9" s="16075"/>
      <c r="AN9" s="16080"/>
      <c r="AO9" s="16190"/>
      <c r="AP9" s="16192"/>
      <c r="AQ9" s="233"/>
      <c r="AR9" s="331"/>
      <c r="AS9" s="331" t="s">
        <v>637</v>
      </c>
      <c r="AT9" s="1270"/>
      <c r="AU9" s="1367"/>
      <c r="AV9" s="1270"/>
      <c r="AW9" s="1367"/>
      <c r="AX9" s="1270"/>
      <c r="AY9" s="1270"/>
      <c r="AZ9" s="1270"/>
      <c r="BA9" s="1270"/>
      <c r="BB9" s="1274"/>
      <c r="BC9" s="16120"/>
      <c r="BE9" s="407"/>
      <c r="BF9" s="407"/>
      <c r="BG9" s="407"/>
      <c r="BH9" s="407"/>
    </row>
    <row r="10" spans="1:60" ht="11.25" hidden="1" customHeight="1">
      <c r="A10" s="1240"/>
      <c r="B10" s="1240"/>
      <c r="C10" s="1240"/>
      <c r="D10" s="1240"/>
      <c r="E10" s="16125"/>
      <c r="F10" s="16125"/>
      <c r="G10" s="16125"/>
      <c r="H10" s="16125"/>
      <c r="I10" s="16145"/>
      <c r="J10" s="16145"/>
      <c r="K10" s="16122"/>
      <c r="L10" s="1241"/>
      <c r="P10" s="16123"/>
      <c r="Q10" s="16123"/>
      <c r="R10" s="16180"/>
      <c r="S10" s="16175"/>
      <c r="T10" s="16194"/>
      <c r="U10" s="217"/>
      <c r="V10" s="1270"/>
      <c r="W10" s="1367"/>
      <c r="X10" s="1270"/>
      <c r="Y10" s="1367"/>
      <c r="Z10" s="1270"/>
      <c r="AA10" s="1270"/>
      <c r="AB10" s="1270"/>
      <c r="AC10" s="1270"/>
      <c r="AD10" s="16045"/>
      <c r="AE10" s="16160"/>
      <c r="AF10" s="16080"/>
      <c r="AG10" s="16197"/>
      <c r="AH10" s="15973"/>
      <c r="AI10" s="16160"/>
      <c r="AJ10" s="16080"/>
      <c r="AK10" s="16196"/>
      <c r="AL10" s="15973"/>
      <c r="AM10" s="233"/>
      <c r="AN10" s="1371"/>
      <c r="AO10" s="1371" t="s">
        <v>657</v>
      </c>
      <c r="AP10" s="331"/>
      <c r="AQ10" s="331"/>
      <c r="AR10" s="331"/>
      <c r="AS10" s="1270"/>
      <c r="AT10" s="1270"/>
      <c r="AU10" s="1367"/>
      <c r="AV10" s="1270"/>
      <c r="AW10" s="1367"/>
      <c r="AX10" s="1270"/>
      <c r="AY10" s="1270"/>
      <c r="AZ10" s="1270"/>
      <c r="BA10" s="1270"/>
      <c r="BB10" s="1274"/>
      <c r="BC10" s="16120"/>
      <c r="BE10" s="407"/>
      <c r="BF10" s="407"/>
      <c r="BG10" s="407"/>
      <c r="BH10" s="407"/>
    </row>
    <row r="11" spans="1:60" ht="11.25" hidden="1" customHeight="1">
      <c r="A11" s="1240"/>
      <c r="B11" s="1240"/>
      <c r="C11" s="1240"/>
      <c r="D11" s="1240"/>
      <c r="E11" s="16125"/>
      <c r="F11" s="16125"/>
      <c r="G11" s="16125"/>
      <c r="H11" s="16125"/>
      <c r="I11" s="16145"/>
      <c r="J11" s="16145"/>
      <c r="K11" s="16122"/>
      <c r="L11" s="1241"/>
      <c r="P11" s="16123"/>
      <c r="Q11" s="16123"/>
      <c r="R11" s="16180"/>
      <c r="S11" s="16175"/>
      <c r="T11" s="16194"/>
      <c r="U11" s="217"/>
      <c r="V11" s="1270"/>
      <c r="W11" s="1367"/>
      <c r="X11" s="1270"/>
      <c r="Y11" s="1367"/>
      <c r="Z11" s="1270"/>
      <c r="AA11" s="1270"/>
      <c r="AB11" s="1270"/>
      <c r="AC11" s="1270"/>
      <c r="AD11" s="16045"/>
      <c r="AE11" s="16160"/>
      <c r="AF11" s="16080"/>
      <c r="AG11" s="16197"/>
      <c r="AH11" s="15973"/>
      <c r="AI11" s="211"/>
      <c r="AJ11" s="330"/>
      <c r="AK11" s="230" t="s">
        <v>658</v>
      </c>
      <c r="AL11" s="1270"/>
      <c r="AM11" s="1270"/>
      <c r="AN11" s="1270"/>
      <c r="AO11" s="1270"/>
      <c r="AP11" s="1270"/>
      <c r="AQ11" s="1270"/>
      <c r="AR11" s="1270"/>
      <c r="AS11" s="1270"/>
      <c r="AT11" s="1270"/>
      <c r="AU11" s="1367"/>
      <c r="AV11" s="1270"/>
      <c r="AW11" s="1367"/>
      <c r="AX11" s="1270"/>
      <c r="AY11" s="1270"/>
      <c r="AZ11" s="1270"/>
      <c r="BA11" s="1270"/>
      <c r="BB11" s="1274"/>
      <c r="BC11" s="16120"/>
      <c r="BE11" s="407"/>
      <c r="BF11" s="407"/>
      <c r="BG11" s="407"/>
      <c r="BH11" s="407"/>
    </row>
    <row r="12" spans="1:60" ht="11.25" hidden="1" customHeight="1">
      <c r="A12" s="1240"/>
      <c r="B12" s="1240"/>
      <c r="C12" s="1240"/>
      <c r="D12" s="1240"/>
      <c r="E12" s="16125"/>
      <c r="F12" s="16125"/>
      <c r="G12" s="16125"/>
      <c r="H12" s="16125"/>
      <c r="I12" s="16145"/>
      <c r="J12" s="16145"/>
      <c r="K12" s="16122"/>
      <c r="L12" s="1241"/>
      <c r="P12" s="16123"/>
      <c r="Q12" s="16123"/>
      <c r="R12" s="16180"/>
      <c r="S12" s="16176"/>
      <c r="T12" s="16195"/>
      <c r="U12" s="217"/>
      <c r="V12" s="1270"/>
      <c r="W12" s="1271" t="str">
        <f>Z8&amp;"-"&amp;AB8</f>
        <v>-</v>
      </c>
      <c r="X12" s="1270"/>
      <c r="Y12" s="1271" t="str">
        <f>AB8&amp;"-"&amp;AD8</f>
        <v>-да</v>
      </c>
      <c r="Z12" s="1270"/>
      <c r="AA12" s="1270"/>
      <c r="AB12" s="1270"/>
      <c r="AC12" s="1270"/>
      <c r="AD12" s="15978"/>
      <c r="AE12" s="229"/>
      <c r="AF12" s="231"/>
      <c r="AG12" s="331" t="s">
        <v>640</v>
      </c>
      <c r="AH12" s="1270"/>
      <c r="AI12" s="1270"/>
      <c r="AJ12" s="1270"/>
      <c r="AK12" s="1270"/>
      <c r="AL12" s="1270"/>
      <c r="AM12" s="1270"/>
      <c r="AN12" s="1270"/>
      <c r="AO12" s="1270"/>
      <c r="AP12" s="1270"/>
      <c r="AQ12" s="1270"/>
      <c r="AR12" s="1270"/>
      <c r="AS12" s="1270"/>
      <c r="AT12" s="1270"/>
      <c r="AU12" s="1271" t="str">
        <f>AX8&amp;"-"&amp;AZ8</f>
        <v>-</v>
      </c>
      <c r="AV12" s="1270"/>
      <c r="AW12" s="1271" t="str">
        <f>AZ8&amp;"-"&amp;BB8</f>
        <v>-</v>
      </c>
      <c r="AX12" s="1270"/>
      <c r="AY12" s="1270"/>
      <c r="AZ12" s="1270"/>
      <c r="BA12" s="1270"/>
      <c r="BB12" s="1273" t="str">
        <f>BE8&amp;"-"&amp;BG8</f>
        <v>-</v>
      </c>
      <c r="BC12" s="16120"/>
      <c r="BE12" s="407"/>
      <c r="BF12" s="407" t="str">
        <f t="shared" ref="BF12:BF18" si="1">IF(T12="","",T12)</f>
        <v/>
      </c>
      <c r="BG12" s="407"/>
      <c r="BH12" s="407"/>
    </row>
    <row r="13" spans="1:60" ht="11.25" hidden="1" customHeight="1">
      <c r="A13" s="1240"/>
      <c r="B13" s="1240"/>
      <c r="C13" s="1240"/>
      <c r="D13" s="1240"/>
      <c r="E13" s="16125"/>
      <c r="F13" s="16125"/>
      <c r="G13" s="16125"/>
      <c r="H13" s="16125"/>
      <c r="I13" s="16145"/>
      <c r="J13" s="16122"/>
      <c r="K13" s="1240"/>
      <c r="L13" s="1241"/>
      <c r="P13" s="16123"/>
      <c r="Q13" s="16123"/>
      <c r="R13" s="272"/>
      <c r="S13" s="1160"/>
      <c r="T13" s="204" t="s">
        <v>602</v>
      </c>
      <c r="U13" s="282"/>
      <c r="V13" s="282"/>
      <c r="W13" s="282"/>
      <c r="X13" s="282"/>
      <c r="Y13" s="282"/>
      <c r="Z13" s="282"/>
      <c r="AA13" s="282"/>
      <c r="AB13" s="282"/>
      <c r="AC13" s="282"/>
      <c r="AD13" s="1376"/>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16121"/>
      <c r="BE13" s="407"/>
      <c r="BF13" s="407" t="str">
        <f t="shared" si="1"/>
        <v>Добавить строку</v>
      </c>
      <c r="BG13" s="407"/>
      <c r="BH13" s="407"/>
    </row>
    <row r="14" spans="1:60" s="14421" customFormat="1" ht="14.25" hidden="1" customHeight="1">
      <c r="A14" s="1221"/>
      <c r="B14" s="1221"/>
      <c r="C14" s="1221"/>
      <c r="D14" s="1221"/>
      <c r="E14" s="16125"/>
      <c r="F14" s="16125"/>
      <c r="G14" s="16125"/>
      <c r="H14" s="16125"/>
      <c r="I14" s="16122"/>
      <c r="J14" s="1221"/>
      <c r="K14" s="1221"/>
      <c r="L14" s="1224"/>
      <c r="M14" s="417"/>
      <c r="N14" s="417"/>
      <c r="O14" s="417"/>
      <c r="P14" s="16123"/>
      <c r="Q14" s="1352"/>
      <c r="R14" s="272"/>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6"/>
      <c r="BE14" s="407"/>
      <c r="BF14" s="407" t="str">
        <f t="shared" si="1"/>
        <v/>
      </c>
      <c r="BG14" s="407"/>
      <c r="BH14" s="407"/>
    </row>
    <row r="15" spans="1:60" s="14421" customFormat="1" ht="14.25" hidden="1" customHeight="1">
      <c r="A15" s="1221"/>
      <c r="B15" s="1221"/>
      <c r="C15" s="1221"/>
      <c r="D15" s="1221"/>
      <c r="E15" s="16125"/>
      <c r="F15" s="16125"/>
      <c r="G15" s="16125"/>
      <c r="H15" s="16124"/>
      <c r="I15" s="1221"/>
      <c r="J15" s="1221"/>
      <c r="K15" s="1221"/>
      <c r="L15" s="1224"/>
      <c r="M15" s="1194"/>
      <c r="N15" s="1194"/>
      <c r="O15" s="425"/>
      <c r="P15" s="295"/>
      <c r="Q15" s="1222"/>
      <c r="R15" s="1278"/>
      <c r="S15" s="1263"/>
      <c r="T15" s="1264"/>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6"/>
      <c r="BE15" s="407"/>
      <c r="BF15" s="407" t="str">
        <f t="shared" si="1"/>
        <v/>
      </c>
      <c r="BG15" s="407"/>
      <c r="BH15" s="407"/>
    </row>
    <row r="16" spans="1:60" s="14418" customFormat="1" ht="14.25" hidden="1" customHeight="1">
      <c r="A16" s="1221"/>
      <c r="B16" s="1221"/>
      <c r="C16" s="1221"/>
      <c r="D16" s="1193"/>
      <c r="E16" s="16125"/>
      <c r="F16" s="16125"/>
      <c r="G16" s="16124"/>
      <c r="H16" s="1193"/>
      <c r="I16" s="1193"/>
      <c r="J16" s="1193"/>
      <c r="K16" s="1193"/>
      <c r="L16" s="1365"/>
      <c r="M16" s="1194"/>
      <c r="N16" s="1194"/>
      <c r="P16" s="1195"/>
      <c r="Q16" s="1196"/>
      <c r="R16" s="1195"/>
      <c r="S16" s="1201"/>
      <c r="T16" s="1204"/>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E16" s="687"/>
      <c r="BF16" s="687" t="str">
        <f t="shared" si="1"/>
        <v/>
      </c>
      <c r="BG16" s="687"/>
      <c r="BH16" s="687"/>
    </row>
    <row r="17" spans="1:60" s="14418" customFormat="1" ht="14.25" hidden="1" customHeight="1">
      <c r="A17" s="1221"/>
      <c r="B17" s="1221"/>
      <c r="C17" s="1193"/>
      <c r="D17" s="1193"/>
      <c r="E17" s="16125"/>
      <c r="F17" s="16124"/>
      <c r="G17" s="1193"/>
      <c r="H17" s="1193"/>
      <c r="I17" s="1193"/>
      <c r="J17" s="1193"/>
      <c r="K17" s="1193"/>
      <c r="L17" s="1365"/>
      <c r="M17" s="1200"/>
      <c r="N17" s="1200"/>
      <c r="P17" s="1195"/>
      <c r="Q17" s="1196"/>
      <c r="R17" s="1195"/>
      <c r="S17" s="1201"/>
      <c r="T17" s="1204" t="s">
        <v>290</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E17" s="687"/>
      <c r="BF17" s="687" t="str">
        <f t="shared" si="1"/>
        <v>Добавить централизованную систему для дифференциации</v>
      </c>
      <c r="BG17" s="687"/>
      <c r="BH17" s="687"/>
    </row>
    <row r="18" spans="1:60" s="14421" customFormat="1" ht="14.25" hidden="1" customHeight="1">
      <c r="A18" s="1221"/>
      <c r="B18" s="1221"/>
      <c r="C18" s="1221"/>
      <c r="D18" s="1221"/>
      <c r="E18" s="16124"/>
      <c r="F18" s="1221"/>
      <c r="G18" s="1221"/>
      <c r="H18" s="1221"/>
      <c r="I18" s="1221"/>
      <c r="J18" s="1221"/>
      <c r="K18" s="1221"/>
      <c r="L18" s="1224"/>
      <c r="M18" s="1200"/>
      <c r="N18" s="1200"/>
      <c r="O18" s="425"/>
      <c r="P18" s="295"/>
      <c r="Q18" s="1222"/>
      <c r="R18" s="295"/>
      <c r="S18" s="1201"/>
      <c r="T18" s="1204" t="s">
        <v>326</v>
      </c>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3" t="s">
        <v>56</v>
      </c>
      <c r="AE20" s="1372"/>
      <c r="AF20" s="454">
        <v>1</v>
      </c>
      <c r="AG20" s="1373"/>
      <c r="AH20" s="1203" t="s">
        <v>56</v>
      </c>
      <c r="AI20" s="1372"/>
      <c r="AJ20" s="454">
        <v>1</v>
      </c>
      <c r="AK20" s="1373"/>
      <c r="AL20" s="1203" t="s">
        <v>56</v>
      </c>
      <c r="AM20" s="1374"/>
      <c r="AN20" s="454">
        <v>1</v>
      </c>
      <c r="AO20" s="1375"/>
      <c r="AP20" s="1203" t="s">
        <v>56</v>
      </c>
      <c r="AQ20" s="1374"/>
      <c r="AR20" s="454">
        <v>1</v>
      </c>
      <c r="AS20" s="1375"/>
      <c r="AT20" s="242"/>
      <c r="AU20" s="299"/>
      <c r="AV20" s="242"/>
      <c r="AW20" s="299"/>
      <c r="AX20" s="1598"/>
      <c r="AY20" s="1356" t="s">
        <v>66</v>
      </c>
      <c r="AZ20" s="1598"/>
      <c r="BA20" s="1356" t="s">
        <v>66</v>
      </c>
    </row>
    <row r="21" spans="1:60" ht="14.25" hidden="1" customHeight="1">
      <c r="BD21" s="403"/>
      <c r="BE21" s="403"/>
      <c r="BF21" s="403"/>
      <c r="BG21" s="403"/>
      <c r="BH21" s="403"/>
    </row>
    <row r="22" spans="1:60" ht="14.25" hidden="1" customHeight="1">
      <c r="O22" s="1244" t="s">
        <v>552</v>
      </c>
      <c r="Z22" s="1223"/>
      <c r="AB22" s="1223"/>
      <c r="AC22" s="244"/>
      <c r="AX22" s="1223"/>
      <c r="AZ22" s="1223"/>
      <c r="BA22" s="244"/>
      <c r="BD22" s="403"/>
      <c r="BE22" s="403"/>
      <c r="BF22" s="403"/>
      <c r="BG22" s="403"/>
      <c r="BH22" s="403"/>
    </row>
    <row r="23" spans="1:60" ht="14.25" hidden="1" customHeight="1">
      <c r="AC23" s="244"/>
      <c r="BA23" s="244"/>
      <c r="BD23" s="403"/>
      <c r="BE23" s="403"/>
      <c r="BF23" s="403"/>
      <c r="BG23" s="403"/>
      <c r="BH23" s="403"/>
    </row>
    <row r="24" spans="1:60" s="14438" customFormat="1" ht="14.25" hidden="1" customHeight="1">
      <c r="M24" s="1379"/>
      <c r="N24" s="1379"/>
      <c r="O24" s="1380" t="s">
        <v>553</v>
      </c>
      <c r="P24" s="1379"/>
      <c r="Q24" s="1381"/>
      <c r="R24" s="1381"/>
      <c r="AA24" s="1378" t="s">
        <v>555</v>
      </c>
      <c r="AC24" s="1378" t="s">
        <v>556</v>
      </c>
      <c r="AD24" s="1378" t="s">
        <v>603</v>
      </c>
      <c r="AH24" s="1378" t="s">
        <v>603</v>
      </c>
      <c r="AK24" s="1378" t="s">
        <v>641</v>
      </c>
      <c r="AL24" s="1378" t="s">
        <v>603</v>
      </c>
      <c r="AP24" s="1378" t="s">
        <v>603</v>
      </c>
      <c r="AY24" s="1378" t="s">
        <v>555</v>
      </c>
      <c r="BA24" s="1378" t="s">
        <v>556</v>
      </c>
      <c r="BD24" s="1382"/>
      <c r="BE24" s="1382"/>
      <c r="BF24" s="1382"/>
      <c r="BG24" s="1382"/>
      <c r="BH24" s="1382"/>
    </row>
    <row r="25" spans="1:60" ht="14.25" hidden="1" customHeight="1">
      <c r="O25" s="1241"/>
      <c r="BD25" s="403"/>
      <c r="BE25" s="403"/>
      <c r="BF25" s="403"/>
      <c r="BG25" s="403"/>
      <c r="BH25" s="403"/>
    </row>
    <row r="26" spans="1:60" ht="14.25" hidden="1" customHeight="1">
      <c r="O26" s="1241"/>
      <c r="BD26" s="403"/>
      <c r="BE26" s="403"/>
      <c r="BF26" s="403"/>
      <c r="BG26" s="403"/>
      <c r="BH26" s="403"/>
    </row>
    <row r="27" spans="1:60" ht="14.25" customHeight="1">
      <c r="Q27" s="208"/>
      <c r="R27" s="291"/>
      <c r="S27" s="1157"/>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1610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6108"/>
      <c r="U28" s="16108"/>
      <c r="V28" s="16108"/>
      <c r="W28" s="16108"/>
      <c r="X28" s="16108"/>
      <c r="Y28" s="16108"/>
      <c r="Z28" s="16108"/>
      <c r="AA28" s="16108"/>
      <c r="AB28" s="16108"/>
      <c r="AC28" s="16108"/>
      <c r="AD28" s="16108"/>
      <c r="AE28" s="16108"/>
      <c r="AF28" s="16108"/>
      <c r="AG28" s="16108"/>
      <c r="AH28" s="16108"/>
      <c r="AI28" s="16108"/>
      <c r="AJ28" s="16108"/>
      <c r="AK28" s="16108"/>
      <c r="AL28" s="16108"/>
      <c r="AM28" s="16108"/>
      <c r="AN28" s="16108"/>
      <c r="AO28" s="16108"/>
      <c r="AP28" s="16108"/>
      <c r="AQ28" s="16108"/>
      <c r="AR28" s="16108"/>
      <c r="AS28" s="16108"/>
      <c r="AT28" s="16108"/>
      <c r="AU28" s="16108"/>
      <c r="AV28" s="16108"/>
      <c r="AW28" s="16108"/>
      <c r="AX28" s="16108"/>
      <c r="AY28" s="16108"/>
      <c r="AZ28" s="16108"/>
      <c r="BA28" s="1125"/>
    </row>
    <row r="29" spans="1:60" ht="14.25" customHeight="1">
      <c r="Q29" s="208"/>
      <c r="R29" s="291"/>
      <c r="S29" s="16056" t="str">
        <f>IF(org=0,"Не определено",org)</f>
        <v>АО "Мурманэнергосбыт"</v>
      </c>
      <c r="T29" s="16056"/>
      <c r="U29" s="16056"/>
      <c r="V29" s="16056"/>
      <c r="W29" s="16056"/>
      <c r="X29" s="16056"/>
      <c r="Y29" s="16056"/>
      <c r="Z29" s="16056"/>
      <c r="AA29" s="16056"/>
      <c r="AB29" s="16056"/>
      <c r="AC29" s="16056"/>
      <c r="AD29" s="16056"/>
      <c r="AE29" s="16056"/>
      <c r="AF29" s="16056"/>
      <c r="AG29" s="16056"/>
      <c r="AH29" s="16056"/>
      <c r="AI29" s="16056"/>
      <c r="AJ29" s="16056"/>
      <c r="AK29" s="16056"/>
      <c r="AL29" s="16056"/>
      <c r="AM29" s="16056"/>
      <c r="AN29" s="16056"/>
      <c r="AO29" s="16056"/>
      <c r="AP29" s="16056"/>
      <c r="AQ29" s="16056"/>
      <c r="AR29" s="16056"/>
      <c r="AS29" s="16056"/>
      <c r="AT29" s="16056"/>
      <c r="AU29" s="16056"/>
      <c r="AV29" s="16056"/>
      <c r="AW29" s="16056"/>
      <c r="AX29" s="16056"/>
      <c r="AY29" s="16056"/>
      <c r="AZ29" s="16056"/>
      <c r="BA29" s="1125"/>
    </row>
    <row r="30" spans="1:60" ht="14.25" customHeight="1">
      <c r="Q30" s="208"/>
      <c r="R30" s="291"/>
      <c r="S30" s="1157"/>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4420" customFormat="1" ht="25.5" customHeight="1">
      <c r="A31" s="1245"/>
      <c r="B31" s="1245"/>
      <c r="C31" s="1245"/>
      <c r="D31" s="1245"/>
      <c r="E31" s="1245"/>
      <c r="F31" s="1245"/>
      <c r="G31" s="1245"/>
      <c r="H31" s="1245"/>
      <c r="I31" s="1245"/>
      <c r="J31" s="1245"/>
      <c r="K31" s="1245"/>
      <c r="L31" s="1246"/>
      <c r="M31" s="1245"/>
      <c r="N31" s="1245"/>
      <c r="O31" s="1245"/>
      <c r="P31" s="1245"/>
      <c r="Q31" s="1245"/>
      <c r="S31" s="16116" t="s">
        <v>38</v>
      </c>
      <c r="T31" s="16116"/>
      <c r="U31" s="1249"/>
      <c r="V31" s="16117" t="str">
        <f>IF(TITLE_NAME_OR_PR_CHANGE="",IF(TITLE_NAME_OR_PR="","",TITLE_NAME_OR_PR),TITLE_NAME_OR_PR_CHANGE)</f>
        <v>Комитет по тарифному регулированию Мурманской области</v>
      </c>
      <c r="W31" s="16117"/>
      <c r="X31" s="16117"/>
      <c r="Y31" s="16117"/>
      <c r="Z31" s="16117"/>
      <c r="AA31" s="16117"/>
      <c r="AB31" s="16117"/>
      <c r="AC31" s="243"/>
      <c r="AD31" s="16117" t="str">
        <f>IF(TITLE_NAME_OR_PR_CHANGE="",IF(TITLE_NAME_OR_PR="","",TITLE_NAME_OR_PR),TITLE_NAME_OR_PR_CHANGE)</f>
        <v>Комитет по тарифному регулированию Мурманской области</v>
      </c>
      <c r="AE31" s="16117"/>
      <c r="AF31" s="16117"/>
      <c r="AG31" s="16117"/>
      <c r="AH31" s="16117"/>
      <c r="AI31" s="16117"/>
      <c r="AJ31" s="16117"/>
      <c r="AK31" s="16117"/>
      <c r="AL31" s="16117"/>
      <c r="AM31" s="16117"/>
      <c r="AN31" s="16117"/>
      <c r="AO31" s="16117"/>
      <c r="AP31" s="16117"/>
      <c r="AQ31" s="16117"/>
      <c r="AR31" s="16117"/>
      <c r="AS31" s="16117"/>
      <c r="AT31" s="16117"/>
      <c r="AU31" s="16117"/>
      <c r="AV31" s="16117"/>
      <c r="AW31" s="16117"/>
      <c r="AX31" s="16117"/>
      <c r="AY31" s="16117"/>
      <c r="AZ31" s="16117"/>
      <c r="BA31" s="243"/>
      <c r="BB31" s="243"/>
      <c r="BC31" s="198"/>
      <c r="BD31" s="283"/>
      <c r="BE31" s="283"/>
      <c r="BF31" s="283"/>
      <c r="BG31" s="283"/>
      <c r="BH31" s="283"/>
    </row>
    <row r="32" spans="1:60" s="14420" customFormat="1" ht="18.75" customHeight="1">
      <c r="A32" s="1245"/>
      <c r="B32" s="1245"/>
      <c r="C32" s="1245"/>
      <c r="D32" s="1245"/>
      <c r="E32" s="1245"/>
      <c r="F32" s="1245"/>
      <c r="G32" s="1245"/>
      <c r="H32" s="1245"/>
      <c r="I32" s="1245"/>
      <c r="J32" s="1245"/>
      <c r="K32" s="1245"/>
      <c r="L32" s="1246"/>
      <c r="M32" s="1245"/>
      <c r="N32" s="1245"/>
      <c r="O32" s="1245"/>
      <c r="P32" s="1245"/>
      <c r="Q32" s="1245"/>
      <c r="S32" s="16116" t="s">
        <v>558</v>
      </c>
      <c r="T32" s="16116"/>
      <c r="U32" s="1249"/>
      <c r="V32" s="16126">
        <f>IF(TITLE_DATE_PR_CHANGE="",IF(TITLE_DATE_PR="","",TITLE_DATE_PR),TITLE_DATE_PR_CHANGE)</f>
        <v>45379</v>
      </c>
      <c r="W32" s="16126"/>
      <c r="X32" s="16126"/>
      <c r="Y32" s="16126"/>
      <c r="Z32" s="16126"/>
      <c r="AA32" s="16126"/>
      <c r="AB32" s="16126"/>
      <c r="AC32" s="243"/>
      <c r="AD32" s="16126">
        <f>IF(TITLE_DATE_PR_CHANGE="",IF(TITLE_DATE_PR="","",TITLE_DATE_PR),TITLE_DATE_PR_CHANGE)</f>
        <v>45379</v>
      </c>
      <c r="AE32" s="16126"/>
      <c r="AF32" s="16126"/>
      <c r="AG32" s="16126"/>
      <c r="AH32" s="16126"/>
      <c r="AI32" s="16126"/>
      <c r="AJ32" s="16126"/>
      <c r="AK32" s="16126"/>
      <c r="AL32" s="16126"/>
      <c r="AM32" s="16126"/>
      <c r="AN32" s="16126"/>
      <c r="AO32" s="16126"/>
      <c r="AP32" s="16126"/>
      <c r="AQ32" s="16126"/>
      <c r="AR32" s="16126"/>
      <c r="AS32" s="16126"/>
      <c r="AT32" s="16126"/>
      <c r="AU32" s="16126"/>
      <c r="AV32" s="16126"/>
      <c r="AW32" s="16126"/>
      <c r="AX32" s="16126"/>
      <c r="AY32" s="16126"/>
      <c r="AZ32" s="16126"/>
      <c r="BA32" s="243"/>
      <c r="BB32" s="243"/>
      <c r="BC32" s="198"/>
      <c r="BD32" s="283"/>
      <c r="BE32" s="283"/>
      <c r="BF32" s="283"/>
      <c r="BG32" s="283"/>
      <c r="BH32" s="283"/>
    </row>
    <row r="33" spans="1:60" s="14420" customFormat="1" ht="18.75" customHeight="1">
      <c r="A33" s="1245"/>
      <c r="B33" s="1245"/>
      <c r="C33" s="1245"/>
      <c r="D33" s="1245"/>
      <c r="E33" s="1245"/>
      <c r="F33" s="1245"/>
      <c r="G33" s="1245"/>
      <c r="H33" s="1245"/>
      <c r="I33" s="1245"/>
      <c r="J33" s="1245"/>
      <c r="K33" s="1245"/>
      <c r="L33" s="1246"/>
      <c r="M33" s="1245"/>
      <c r="N33" s="1245"/>
      <c r="O33" s="1245"/>
      <c r="P33" s="1245"/>
      <c r="Q33" s="1245"/>
      <c r="S33" s="16116" t="s">
        <v>559</v>
      </c>
      <c r="T33" s="16116"/>
      <c r="U33" s="1249"/>
      <c r="V33" s="16117" t="str">
        <f>IF(TITLE_NUMBER_PR_CHANGE="",IF(TITLE_NUMBER_PR="","",TITLE_NUMBER_PR),TITLE_NUMBER_PR_CHANGE)</f>
        <v>8/6</v>
      </c>
      <c r="W33" s="16117"/>
      <c r="X33" s="16117"/>
      <c r="Y33" s="16117"/>
      <c r="Z33" s="16117"/>
      <c r="AA33" s="16117"/>
      <c r="AB33" s="16117"/>
      <c r="AC33" s="243"/>
      <c r="AD33" s="16117" t="str">
        <f>IF(TITLE_NUMBER_PR_CHANGE="",IF(TITLE_NUMBER_PR="","",TITLE_NUMBER_PR),TITLE_NUMBER_PR_CHANGE)</f>
        <v>8/6</v>
      </c>
      <c r="AE33" s="16117"/>
      <c r="AF33" s="16117"/>
      <c r="AG33" s="16117"/>
      <c r="AH33" s="16117"/>
      <c r="AI33" s="16117"/>
      <c r="AJ33" s="16117"/>
      <c r="AK33" s="16117"/>
      <c r="AL33" s="16117"/>
      <c r="AM33" s="16117"/>
      <c r="AN33" s="16117"/>
      <c r="AO33" s="16117"/>
      <c r="AP33" s="16117"/>
      <c r="AQ33" s="16117"/>
      <c r="AR33" s="16117"/>
      <c r="AS33" s="16117"/>
      <c r="AT33" s="16117"/>
      <c r="AU33" s="16117"/>
      <c r="AV33" s="16117"/>
      <c r="AW33" s="16117"/>
      <c r="AX33" s="16117"/>
      <c r="AY33" s="16117"/>
      <c r="AZ33" s="16117"/>
      <c r="BA33" s="243"/>
      <c r="BB33" s="243"/>
      <c r="BC33" s="198"/>
      <c r="BD33" s="283"/>
      <c r="BE33" s="283"/>
      <c r="BF33" s="283"/>
      <c r="BG33" s="283"/>
      <c r="BH33" s="283"/>
    </row>
    <row r="34" spans="1:60" s="14420" customFormat="1" ht="18.75" customHeight="1">
      <c r="A34" s="1245"/>
      <c r="B34" s="1245"/>
      <c r="C34" s="1245"/>
      <c r="D34" s="1245"/>
      <c r="E34" s="1245"/>
      <c r="F34" s="1245"/>
      <c r="G34" s="1245"/>
      <c r="H34" s="1245"/>
      <c r="I34" s="1245"/>
      <c r="J34" s="1245"/>
      <c r="K34" s="1245"/>
      <c r="L34" s="1246"/>
      <c r="M34" s="1245"/>
      <c r="N34" s="1245"/>
      <c r="O34" s="1245"/>
      <c r="P34" s="1245"/>
      <c r="Q34" s="1245"/>
      <c r="S34" s="16116" t="s">
        <v>40</v>
      </c>
      <c r="T34" s="16116"/>
      <c r="U34" s="1249"/>
      <c r="V34" s="16117" t="str">
        <f>IF(TITLE_IST_PUB_CHANGE="",IF(TITLE_IST_PUB="","",TITLE_IST_PUB),TITLE_IST_PUB_CHANGE)</f>
        <v>https://npa.gov-murman.ru/bitrix/components/b1team/govmurman.element.file/download.php?ID=518761&amp;FID=765125</v>
      </c>
      <c r="W34" s="16117"/>
      <c r="X34" s="16117"/>
      <c r="Y34" s="16117"/>
      <c r="Z34" s="16117"/>
      <c r="AA34" s="16117"/>
      <c r="AB34" s="16117"/>
      <c r="AC34" s="243"/>
      <c r="AD34" s="16117" t="str">
        <f>IF(TITLE_IST_PUB_CHANGE="",IF(TITLE_IST_PUB="","",TITLE_IST_PUB),TITLE_IST_PUB_CHANGE)</f>
        <v>https://npa.gov-murman.ru/bitrix/components/b1team/govmurman.element.file/download.php?ID=518761&amp;FID=765125</v>
      </c>
      <c r="AE34" s="16117"/>
      <c r="AF34" s="16117"/>
      <c r="AG34" s="16117"/>
      <c r="AH34" s="16117"/>
      <c r="AI34" s="16117"/>
      <c r="AJ34" s="16117"/>
      <c r="AK34" s="16117"/>
      <c r="AL34" s="16117"/>
      <c r="AM34" s="16117"/>
      <c r="AN34" s="16117"/>
      <c r="AO34" s="16117"/>
      <c r="AP34" s="16117"/>
      <c r="AQ34" s="16117"/>
      <c r="AR34" s="16117"/>
      <c r="AS34" s="16117"/>
      <c r="AT34" s="16117"/>
      <c r="AU34" s="16117"/>
      <c r="AV34" s="16117"/>
      <c r="AW34" s="16117"/>
      <c r="AX34" s="16117"/>
      <c r="AY34" s="16117"/>
      <c r="AZ34" s="16117"/>
      <c r="BA34" s="243"/>
      <c r="BB34" s="243"/>
      <c r="BC34" s="198"/>
      <c r="BD34" s="283"/>
      <c r="BE34" s="283"/>
      <c r="BF34" s="283"/>
      <c r="BG34" s="283"/>
      <c r="BH34" s="283"/>
    </row>
    <row r="35" spans="1:60" ht="14.25" hidden="1" customHeight="1">
      <c r="Q35" s="208"/>
      <c r="R35" s="291"/>
      <c r="S35" s="1157"/>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4420" customFormat="1" ht="18.75" hidden="1" customHeight="1">
      <c r="A36" s="1245"/>
      <c r="B36" s="1245"/>
      <c r="C36" s="1245"/>
      <c r="D36" s="1245"/>
      <c r="E36" s="1245"/>
      <c r="F36" s="1245"/>
      <c r="G36" s="1245"/>
      <c r="H36" s="1245"/>
      <c r="I36" s="1245"/>
      <c r="J36" s="1245"/>
      <c r="K36" s="1245"/>
      <c r="L36" s="1246"/>
      <c r="M36" s="1245"/>
      <c r="N36" s="1245"/>
      <c r="O36" s="1245"/>
      <c r="P36" s="1245"/>
      <c r="Q36" s="1245"/>
      <c r="S36" s="16116" t="s">
        <v>558</v>
      </c>
      <c r="T36" s="16116"/>
      <c r="U36" s="1249"/>
      <c r="V36" s="16126">
        <f>IF(TITLE_DATE_PR_CHANGE="",IF(TITLE_DATE_PR="","",TITLE_DATE_PR),TITLE_DATE_PR_CHANGE)</f>
        <v>45379</v>
      </c>
      <c r="W36" s="16126"/>
      <c r="X36" s="16126"/>
      <c r="Y36" s="16126"/>
      <c r="Z36" s="16126"/>
      <c r="AA36" s="16126"/>
      <c r="AB36" s="16126"/>
      <c r="AC36" s="243"/>
      <c r="AD36" s="16126">
        <f>IF(TITLE_DATE_PR_CHANGE="",IF(TITLE_DATE_PR="","",TITLE_DATE_PR),TITLE_DATE_PR_CHANGE)</f>
        <v>45379</v>
      </c>
      <c r="AE36" s="16126"/>
      <c r="AF36" s="16126"/>
      <c r="AG36" s="16126"/>
      <c r="AH36" s="16126"/>
      <c r="AI36" s="16126"/>
      <c r="AJ36" s="16126"/>
      <c r="AK36" s="16126"/>
      <c r="AL36" s="16126"/>
      <c r="AM36" s="16126"/>
      <c r="AN36" s="16126"/>
      <c r="AO36" s="16126"/>
      <c r="AP36" s="16126"/>
      <c r="AQ36" s="16126"/>
      <c r="AR36" s="16126"/>
      <c r="AS36" s="16126"/>
      <c r="AT36" s="16126"/>
      <c r="AU36" s="16126"/>
      <c r="AV36" s="16126"/>
      <c r="AW36" s="16126"/>
      <c r="AX36" s="16126"/>
      <c r="AY36" s="16126"/>
      <c r="AZ36" s="16126"/>
      <c r="BA36" s="243"/>
      <c r="BB36" s="243"/>
      <c r="BC36" s="198"/>
      <c r="BD36" s="283"/>
      <c r="BE36" s="283"/>
      <c r="BF36" s="283"/>
      <c r="BG36" s="283"/>
      <c r="BH36" s="283"/>
    </row>
    <row r="37" spans="1:60" s="14420" customFormat="1" ht="18.75" hidden="1" customHeight="1">
      <c r="A37" s="1245"/>
      <c r="B37" s="1245"/>
      <c r="C37" s="1245"/>
      <c r="D37" s="1245"/>
      <c r="E37" s="1245"/>
      <c r="F37" s="1245"/>
      <c r="G37" s="1245"/>
      <c r="H37" s="1245"/>
      <c r="I37" s="1245"/>
      <c r="J37" s="1245"/>
      <c r="K37" s="1245"/>
      <c r="L37" s="1246"/>
      <c r="M37" s="1245"/>
      <c r="N37" s="1245"/>
      <c r="O37" s="1245"/>
      <c r="P37" s="1245"/>
      <c r="Q37" s="1245"/>
      <c r="S37" s="16116" t="s">
        <v>559</v>
      </c>
      <c r="T37" s="16116"/>
      <c r="U37" s="1249"/>
      <c r="V37" s="16117" t="str">
        <f>IF(TITLE_NUMBER_PR_CHANGE="",IF(TITLE_NUMBER_PR="","",TITLE_NUMBER_PR),TITLE_NUMBER_PR_CHANGE)</f>
        <v>8/6</v>
      </c>
      <c r="W37" s="16117"/>
      <c r="X37" s="16117"/>
      <c r="Y37" s="16117"/>
      <c r="Z37" s="16117"/>
      <c r="AA37" s="16117"/>
      <c r="AB37" s="16117"/>
      <c r="AC37" s="243"/>
      <c r="AD37" s="16117" t="str">
        <f>IF(TITLE_NUMBER_PR_CHANGE="",IF(TITLE_NUMBER_PR="","",TITLE_NUMBER_PR),TITLE_NUMBER_PR_CHANGE)</f>
        <v>8/6</v>
      </c>
      <c r="AE37" s="16117"/>
      <c r="AF37" s="16117"/>
      <c r="AG37" s="16117"/>
      <c r="AH37" s="16117"/>
      <c r="AI37" s="16117"/>
      <c r="AJ37" s="16117"/>
      <c r="AK37" s="16117"/>
      <c r="AL37" s="16117"/>
      <c r="AM37" s="16117"/>
      <c r="AN37" s="16117"/>
      <c r="AO37" s="16117"/>
      <c r="AP37" s="16117"/>
      <c r="AQ37" s="16117"/>
      <c r="AR37" s="16117"/>
      <c r="AS37" s="16117"/>
      <c r="AT37" s="16117"/>
      <c r="AU37" s="16117"/>
      <c r="AV37" s="16117"/>
      <c r="AW37" s="16117"/>
      <c r="AX37" s="16117"/>
      <c r="AY37" s="16117"/>
      <c r="AZ37" s="16117"/>
      <c r="BA37" s="243"/>
      <c r="BB37" s="243"/>
      <c r="BC37" s="198"/>
      <c r="BD37" s="283"/>
      <c r="BE37" s="283"/>
      <c r="BF37" s="283"/>
      <c r="BG37" s="283"/>
      <c r="BH37" s="283"/>
    </row>
    <row r="38" spans="1:60" s="14420" customFormat="1" ht="0" hidden="1" customHeight="1">
      <c r="A38" s="1245"/>
      <c r="B38" s="1245"/>
      <c r="C38" s="1245"/>
      <c r="D38" s="1245"/>
      <c r="E38" s="1245"/>
      <c r="F38" s="1245"/>
      <c r="G38" s="1245"/>
      <c r="H38" s="1245"/>
      <c r="I38" s="1245"/>
      <c r="J38" s="1245"/>
      <c r="K38" s="1245"/>
      <c r="L38" s="1246"/>
      <c r="M38" s="1245"/>
      <c r="N38" s="1245"/>
      <c r="O38" s="1245"/>
      <c r="P38" s="1245"/>
      <c r="Q38" s="1245"/>
      <c r="S38" s="240"/>
      <c r="T38" s="240"/>
      <c r="U38" s="1359"/>
      <c r="V38" s="243"/>
      <c r="W38" s="243"/>
      <c r="X38" s="243"/>
      <c r="Y38" s="243"/>
      <c r="Z38" s="243"/>
      <c r="AA38" s="243"/>
      <c r="AB38" s="243"/>
      <c r="AC38" s="196" t="s">
        <v>562</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562</v>
      </c>
      <c r="BD38" s="283"/>
      <c r="BE38" s="283"/>
      <c r="BF38" s="283"/>
      <c r="BG38" s="283"/>
      <c r="BH38" s="283"/>
    </row>
    <row r="39" spans="1:60" ht="14.25" customHeight="1">
      <c r="Q39" s="208"/>
      <c r="R39" s="291"/>
      <c r="S39" s="1157"/>
      <c r="T39" s="279"/>
      <c r="U39" s="1126"/>
      <c r="V39" s="16118"/>
      <c r="W39" s="16118"/>
      <c r="X39" s="16118"/>
      <c r="Y39" s="16118"/>
      <c r="Z39" s="16118"/>
      <c r="AA39" s="16118"/>
      <c r="AB39" s="16118"/>
      <c r="AC39" s="16118"/>
      <c r="AD39" s="16118"/>
      <c r="AE39" s="16118"/>
      <c r="AF39" s="16118"/>
      <c r="AG39" s="16118"/>
      <c r="AH39" s="16118"/>
      <c r="AI39" s="16118"/>
      <c r="AJ39" s="16118"/>
      <c r="AK39" s="16118"/>
      <c r="AL39" s="16118"/>
      <c r="AM39" s="16118"/>
      <c r="AN39" s="16118"/>
      <c r="AO39" s="16118"/>
      <c r="AP39" s="16118"/>
      <c r="AQ39" s="16118"/>
      <c r="AR39" s="16118"/>
      <c r="AS39" s="16118"/>
      <c r="AT39" s="16118"/>
      <c r="AU39" s="16118"/>
      <c r="AV39" s="16118"/>
      <c r="AW39" s="16118"/>
      <c r="AX39" s="16118"/>
      <c r="AY39" s="16118"/>
      <c r="AZ39" s="16118"/>
      <c r="BA39" s="16118"/>
    </row>
    <row r="40" spans="1:60" ht="14.25" customHeight="1">
      <c r="Q40" s="208"/>
      <c r="R40" s="291"/>
      <c r="S40" s="15992" t="s">
        <v>437</v>
      </c>
      <c r="T40" s="15992"/>
      <c r="U40" s="15992"/>
      <c r="V40" s="15992"/>
      <c r="W40" s="15992"/>
      <c r="X40" s="15992"/>
      <c r="Y40" s="15992"/>
      <c r="Z40" s="15992"/>
      <c r="AA40" s="15992"/>
      <c r="AB40" s="15992"/>
      <c r="AC40" s="15992"/>
      <c r="AD40" s="15992"/>
      <c r="AE40" s="15992"/>
      <c r="AF40" s="15992"/>
      <c r="AG40" s="15992"/>
      <c r="AH40" s="15992"/>
      <c r="AI40" s="15992"/>
      <c r="AJ40" s="15992"/>
      <c r="AK40" s="15992"/>
      <c r="AL40" s="15992"/>
      <c r="AM40" s="15992"/>
      <c r="AN40" s="15992"/>
      <c r="AO40" s="15992"/>
      <c r="AP40" s="15992"/>
      <c r="AQ40" s="15992"/>
      <c r="AR40" s="15992"/>
      <c r="AS40" s="15992"/>
      <c r="AT40" s="15992"/>
      <c r="AU40" s="15992"/>
      <c r="AV40" s="15992"/>
      <c r="AW40" s="15992"/>
      <c r="AX40" s="15992"/>
      <c r="AY40" s="15992"/>
      <c r="AZ40" s="15992"/>
      <c r="BA40" s="15992"/>
      <c r="BB40" s="15992"/>
      <c r="BC40" s="15992" t="s">
        <v>438</v>
      </c>
    </row>
    <row r="41" spans="1:60" ht="14.25" customHeight="1">
      <c r="Q41" s="208"/>
      <c r="R41" s="291"/>
      <c r="S41" s="16132" t="s">
        <v>87</v>
      </c>
      <c r="T41" s="16084" t="s">
        <v>642</v>
      </c>
      <c r="U41" s="218"/>
      <c r="V41" s="16133" t="s">
        <v>564</v>
      </c>
      <c r="W41" s="16134"/>
      <c r="X41" s="16134"/>
      <c r="Y41" s="16134"/>
      <c r="Z41" s="16134"/>
      <c r="AA41" s="16134"/>
      <c r="AB41" s="16135"/>
      <c r="AC41" s="16136" t="s">
        <v>565</v>
      </c>
      <c r="AD41" s="16162" t="s">
        <v>659</v>
      </c>
      <c r="AE41" s="16150"/>
      <c r="AF41" s="16150"/>
      <c r="AG41" s="16163"/>
      <c r="AH41" s="16162" t="s">
        <v>660</v>
      </c>
      <c r="AI41" s="16150"/>
      <c r="AJ41" s="16150"/>
      <c r="AK41" s="16163"/>
      <c r="AL41" s="16162" t="s">
        <v>661</v>
      </c>
      <c r="AM41" s="16150"/>
      <c r="AN41" s="16150"/>
      <c r="AO41" s="16163"/>
      <c r="AP41" s="16162" t="s">
        <v>646</v>
      </c>
      <c r="AQ41" s="16150"/>
      <c r="AR41" s="16150"/>
      <c r="AS41" s="16163"/>
      <c r="AT41" s="16133" t="s">
        <v>564</v>
      </c>
      <c r="AU41" s="16134"/>
      <c r="AV41" s="16134"/>
      <c r="AW41" s="16134"/>
      <c r="AX41" s="16134"/>
      <c r="AY41" s="16134"/>
      <c r="AZ41" s="16135"/>
      <c r="BA41" s="16136" t="s">
        <v>565</v>
      </c>
      <c r="BB41" s="16139" t="s">
        <v>567</v>
      </c>
      <c r="BC41" s="15992"/>
    </row>
    <row r="42" spans="1:60" ht="33.75" customHeight="1">
      <c r="Q42" s="208"/>
      <c r="R42" s="291"/>
      <c r="S42" s="16132"/>
      <c r="T42" s="16084"/>
      <c r="U42" s="919"/>
      <c r="V42" s="16070" t="s">
        <v>647</v>
      </c>
      <c r="W42" s="16071"/>
      <c r="X42" s="16070" t="s">
        <v>648</v>
      </c>
      <c r="Y42" s="16071"/>
      <c r="Z42" s="16070" t="s">
        <v>649</v>
      </c>
      <c r="AA42" s="16157"/>
      <c r="AB42" s="16071"/>
      <c r="AC42" s="16137"/>
      <c r="AD42" s="16164"/>
      <c r="AE42" s="16165"/>
      <c r="AF42" s="16165"/>
      <c r="AG42" s="16166"/>
      <c r="AH42" s="16164"/>
      <c r="AI42" s="16165"/>
      <c r="AJ42" s="16165"/>
      <c r="AK42" s="16166"/>
      <c r="AL42" s="16164"/>
      <c r="AM42" s="16165"/>
      <c r="AN42" s="16165"/>
      <c r="AO42" s="16166"/>
      <c r="AP42" s="16164"/>
      <c r="AQ42" s="16165"/>
      <c r="AR42" s="16165"/>
      <c r="AS42" s="16166"/>
      <c r="AT42" s="16070" t="s">
        <v>662</v>
      </c>
      <c r="AU42" s="16071"/>
      <c r="AV42" s="16070" t="s">
        <v>663</v>
      </c>
      <c r="AW42" s="16071"/>
      <c r="AX42" s="16070" t="s">
        <v>649</v>
      </c>
      <c r="AY42" s="16157"/>
      <c r="AZ42" s="16071"/>
      <c r="BA42" s="16137"/>
      <c r="BB42" s="16140"/>
      <c r="BC42" s="15992"/>
    </row>
    <row r="43" spans="1:60" ht="14.25" customHeight="1">
      <c r="Q43" s="208"/>
      <c r="R43" s="291"/>
      <c r="S43" s="16132"/>
      <c r="T43" s="16084"/>
      <c r="U43" s="919"/>
      <c r="V43" s="16075"/>
      <c r="W43" s="16076"/>
      <c r="X43" s="16075"/>
      <c r="Y43" s="16076"/>
      <c r="Z43" s="16075"/>
      <c r="AA43" s="16158"/>
      <c r="AB43" s="16076"/>
      <c r="AC43" s="16137"/>
      <c r="AD43" s="16164"/>
      <c r="AE43" s="16165"/>
      <c r="AF43" s="16165"/>
      <c r="AG43" s="16166"/>
      <c r="AH43" s="16164"/>
      <c r="AI43" s="16165"/>
      <c r="AJ43" s="16165"/>
      <c r="AK43" s="16166"/>
      <c r="AL43" s="16164"/>
      <c r="AM43" s="16165"/>
      <c r="AN43" s="16165"/>
      <c r="AO43" s="16166"/>
      <c r="AP43" s="16164"/>
      <c r="AQ43" s="16165"/>
      <c r="AR43" s="16165"/>
      <c r="AS43" s="16166"/>
      <c r="AT43" s="16075"/>
      <c r="AU43" s="16076"/>
      <c r="AV43" s="16075"/>
      <c r="AW43" s="16076"/>
      <c r="AX43" s="16075"/>
      <c r="AY43" s="16158"/>
      <c r="AZ43" s="16076"/>
      <c r="BA43" s="16137"/>
      <c r="BB43" s="16140"/>
      <c r="BC43" s="15992"/>
    </row>
    <row r="44" spans="1:60" ht="14.25" customHeight="1">
      <c r="A44" s="1247"/>
      <c r="B44" s="1247" t="s">
        <v>170</v>
      </c>
      <c r="C44" s="1247" t="s">
        <v>171</v>
      </c>
      <c r="D44" s="1247" t="s">
        <v>172</v>
      </c>
      <c r="E44" s="1241" t="s">
        <v>572</v>
      </c>
      <c r="F44" s="1241" t="s">
        <v>573</v>
      </c>
      <c r="G44" s="1241" t="s">
        <v>574</v>
      </c>
      <c r="H44" s="1241" t="s">
        <v>575</v>
      </c>
      <c r="I44" s="1241" t="s">
        <v>576</v>
      </c>
      <c r="J44" s="1241" t="s">
        <v>577</v>
      </c>
      <c r="K44" s="1241" t="s">
        <v>578</v>
      </c>
      <c r="L44" s="1241" t="s">
        <v>553</v>
      </c>
      <c r="Q44" s="208"/>
      <c r="R44" s="291"/>
      <c r="S44" s="16132"/>
      <c r="T44" s="16084"/>
      <c r="U44" s="219"/>
      <c r="V44" s="1350" t="s">
        <v>613</v>
      </c>
      <c r="W44" s="1350" t="s">
        <v>614</v>
      </c>
      <c r="X44" s="1350" t="s">
        <v>613</v>
      </c>
      <c r="Y44" s="1350" t="s">
        <v>614</v>
      </c>
      <c r="Z44" s="1360" t="s">
        <v>581</v>
      </c>
      <c r="AA44" s="16092" t="s">
        <v>582</v>
      </c>
      <c r="AB44" s="16094"/>
      <c r="AC44" s="16138"/>
      <c r="AD44" s="16167"/>
      <c r="AE44" s="16168"/>
      <c r="AF44" s="16168"/>
      <c r="AG44" s="16169"/>
      <c r="AH44" s="16167"/>
      <c r="AI44" s="16168"/>
      <c r="AJ44" s="16168"/>
      <c r="AK44" s="16169"/>
      <c r="AL44" s="16167"/>
      <c r="AM44" s="16168"/>
      <c r="AN44" s="16168"/>
      <c r="AO44" s="16169"/>
      <c r="AP44" s="16167"/>
      <c r="AQ44" s="16168"/>
      <c r="AR44" s="16168"/>
      <c r="AS44" s="16169"/>
      <c r="AT44" s="1350" t="s">
        <v>613</v>
      </c>
      <c r="AU44" s="1350" t="s">
        <v>614</v>
      </c>
      <c r="AV44" s="1350" t="s">
        <v>613</v>
      </c>
      <c r="AW44" s="1350" t="s">
        <v>614</v>
      </c>
      <c r="AX44" s="1360" t="s">
        <v>581</v>
      </c>
      <c r="AY44" s="16092" t="s">
        <v>582</v>
      </c>
      <c r="AZ44" s="16094"/>
      <c r="BA44" s="16138"/>
      <c r="BB44" s="16141"/>
      <c r="BC44" s="15992"/>
    </row>
    <row r="45" spans="1:60" s="14405" customFormat="1" ht="11.25" hidden="1" customHeight="1">
      <c r="A45" s="1247"/>
      <c r="B45" s="1247"/>
      <c r="C45" s="1247"/>
      <c r="D45" s="1247"/>
      <c r="E45" s="1247"/>
      <c r="F45" s="1247"/>
      <c r="G45" s="1247"/>
      <c r="H45" s="1247"/>
      <c r="I45" s="1247"/>
      <c r="J45" s="1247"/>
      <c r="K45" s="1247"/>
      <c r="L45" s="1241"/>
      <c r="M45" s="1239"/>
      <c r="N45" s="1239"/>
      <c r="O45" s="1239"/>
      <c r="P45" s="417"/>
      <c r="Q45" s="1136"/>
      <c r="R45" s="1136">
        <v>1</v>
      </c>
      <c r="S45" s="1159" t="s">
        <v>147</v>
      </c>
      <c r="T45" s="1137" t="s">
        <v>102</v>
      </c>
      <c r="U45" s="1127" t="str">
        <f ca="1">OFFSET(U45,0,-1)</f>
        <v>2</v>
      </c>
      <c r="V45" s="1353">
        <f t="shared" ref="V45:AA45" ca="1" si="2">OFFSET(V45,0,-1)+1</f>
        <v>3</v>
      </c>
      <c r="W45" s="1353">
        <f t="shared" ca="1" si="2"/>
        <v>4</v>
      </c>
      <c r="X45" s="1353">
        <f t="shared" ca="1" si="2"/>
        <v>5</v>
      </c>
      <c r="Y45" s="1353">
        <f t="shared" ca="1" si="2"/>
        <v>6</v>
      </c>
      <c r="Z45" s="1353">
        <f t="shared" ca="1" si="2"/>
        <v>7</v>
      </c>
      <c r="AA45" s="16131">
        <f t="shared" ca="1" si="2"/>
        <v>8</v>
      </c>
      <c r="AB45" s="16131"/>
      <c r="AC45" s="1353">
        <f ca="1">OFFSET(AC45,0,-2)+1</f>
        <v>9</v>
      </c>
      <c r="AD45" s="1353">
        <f ca="1">OFFSET(AD45,0,-1)+1</f>
        <v>10</v>
      </c>
      <c r="AE45" s="1353"/>
      <c r="AF45" s="1353"/>
      <c r="AG45" s="1353"/>
      <c r="AH45" s="1353"/>
      <c r="AI45" s="1353"/>
      <c r="AJ45" s="1353"/>
      <c r="AK45" s="1353"/>
      <c r="AL45" s="1353"/>
      <c r="AM45" s="1353"/>
      <c r="AN45" s="1353"/>
      <c r="AO45" s="1353"/>
      <c r="AP45" s="1353"/>
      <c r="AQ45" s="1353"/>
      <c r="AR45" s="1353"/>
      <c r="AS45" s="1353"/>
      <c r="AT45" s="1353"/>
      <c r="AU45" s="1353"/>
      <c r="AV45" s="1353"/>
      <c r="AW45" s="1353">
        <f ca="1">OFFSET(AW45,0,-1)+1</f>
        <v>1</v>
      </c>
      <c r="AX45" s="1353">
        <f ca="1">OFFSET(AX45,0,-1)+1</f>
        <v>2</v>
      </c>
      <c r="AY45" s="16131">
        <f ca="1">OFFSET(AY45,0,-1)+1</f>
        <v>3</v>
      </c>
      <c r="AZ45" s="16131"/>
      <c r="BA45" s="1353">
        <f ca="1">OFFSET(BA45,0,-2)+1</f>
        <v>4</v>
      </c>
      <c r="BB45" s="1127">
        <f ca="1">OFFSET(BB45,0,-1)</f>
        <v>4</v>
      </c>
      <c r="BC45" s="1353">
        <f ca="1">OFFSET(BC45,0,-1)+1</f>
        <v>5</v>
      </c>
      <c r="BD45" s="418"/>
      <c r="BE45" s="418"/>
      <c r="BF45" s="418"/>
      <c r="BG45" s="418"/>
      <c r="BH45" s="418"/>
    </row>
    <row r="46" spans="1:60" ht="21" customHeight="1">
      <c r="A46" s="1240" t="s">
        <v>413</v>
      </c>
      <c r="B46" s="1240"/>
      <c r="C46" s="1240"/>
      <c r="D46" s="1240"/>
      <c r="E46" s="16124">
        <v>1</v>
      </c>
      <c r="F46" s="1240"/>
      <c r="G46" s="1240"/>
      <c r="H46" s="1240"/>
      <c r="I46" s="1240"/>
      <c r="J46" s="1240"/>
      <c r="K46" s="1240"/>
      <c r="L46" s="1241"/>
      <c r="M46" s="1242"/>
      <c r="N46" s="1242"/>
      <c r="O46" s="1242"/>
      <c r="P46" s="1286"/>
      <c r="Q46" s="767"/>
      <c r="R46" s="271"/>
      <c r="S46" s="1364">
        <f>INDEX(PT_DIFFERENTIATION_NUM_NTAR,MATCH(A46,PT_DIFFERENTIATION_NTAR_ID,0))</f>
        <v>0</v>
      </c>
      <c r="T46" s="215" t="s">
        <v>158</v>
      </c>
      <c r="U46" s="217"/>
      <c r="V46" s="16111"/>
      <c r="W46" s="16111"/>
      <c r="X46" s="16111"/>
      <c r="Y46" s="16111"/>
      <c r="Z46" s="16111"/>
      <c r="AA46" s="16111"/>
      <c r="AB46" s="16111"/>
      <c r="AC46" s="16112"/>
      <c r="AD46" s="16110" t="str">
        <f>INDEX(PT_DIFFERENTIATION_NTAR,MATCH(A46,PT_DIFFERENTIATION_NTAR_ID,0))</f>
        <v/>
      </c>
      <c r="AE46" s="16111"/>
      <c r="AF46" s="16111"/>
      <c r="AG46" s="16111"/>
      <c r="AH46" s="16111"/>
      <c r="AI46" s="16111"/>
      <c r="AJ46" s="16111"/>
      <c r="AK46" s="16111"/>
      <c r="AL46" s="16111"/>
      <c r="AM46" s="16111"/>
      <c r="AN46" s="16111"/>
      <c r="AO46" s="16111"/>
      <c r="AP46" s="16111"/>
      <c r="AQ46" s="16111"/>
      <c r="AR46" s="16111"/>
      <c r="AS46" s="16111"/>
      <c r="AT46" s="16111"/>
      <c r="AU46" s="16111"/>
      <c r="AV46" s="16111"/>
      <c r="AW46" s="16111"/>
      <c r="AX46" s="16111"/>
      <c r="AY46" s="16111"/>
      <c r="AZ46" s="16111"/>
      <c r="BA46" s="16111"/>
      <c r="BB46" s="16112"/>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0" t="s">
        <v>413</v>
      </c>
      <c r="B47" s="1240" t="s">
        <v>414</v>
      </c>
      <c r="C47" s="1240"/>
      <c r="D47" s="1240"/>
      <c r="E47" s="16125"/>
      <c r="F47" s="16124">
        <v>1</v>
      </c>
      <c r="G47" s="1240"/>
      <c r="H47" s="1240"/>
      <c r="I47" s="1240"/>
      <c r="J47" s="1240"/>
      <c r="K47" s="1240"/>
      <c r="L47" s="1241"/>
      <c r="M47" s="1242"/>
      <c r="N47" s="1242"/>
      <c r="O47" s="1242"/>
      <c r="P47" s="1287"/>
      <c r="Q47" s="1288"/>
      <c r="R47" s="269"/>
      <c r="S47" s="1364" t="str">
        <f>INDEX(PT_DIFFERENTIATION_NUM_TER,MATCH(B47,PT_DIFFERENTIATION_TER_ID,0))</f>
        <v>.</v>
      </c>
      <c r="T47" s="225" t="s">
        <v>534</v>
      </c>
      <c r="U47" s="217"/>
      <c r="V47" s="16111"/>
      <c r="W47" s="16111"/>
      <c r="X47" s="16111"/>
      <c r="Y47" s="16111"/>
      <c r="Z47" s="16111"/>
      <c r="AA47" s="16111"/>
      <c r="AB47" s="16111"/>
      <c r="AC47" s="16112"/>
      <c r="AD47" s="16110" t="str">
        <f>INDEX(PT_DIFFERENTIATION_TER,MATCH(B47,PT_DIFFERENTIATION_TER_ID,0))</f>
        <v/>
      </c>
      <c r="AE47" s="16111"/>
      <c r="AF47" s="16111"/>
      <c r="AG47" s="16111"/>
      <c r="AH47" s="16111"/>
      <c r="AI47" s="16111"/>
      <c r="AJ47" s="16111"/>
      <c r="AK47" s="16111"/>
      <c r="AL47" s="16111"/>
      <c r="AM47" s="16111"/>
      <c r="AN47" s="16111"/>
      <c r="AO47" s="16111"/>
      <c r="AP47" s="16111"/>
      <c r="AQ47" s="16111"/>
      <c r="AR47" s="16111"/>
      <c r="AS47" s="16111"/>
      <c r="AT47" s="16111"/>
      <c r="AU47" s="16111"/>
      <c r="AV47" s="16111"/>
      <c r="AW47" s="16111"/>
      <c r="AX47" s="16111"/>
      <c r="AY47" s="16111"/>
      <c r="AZ47" s="16111"/>
      <c r="BA47" s="16111"/>
      <c r="BB47" s="16112"/>
      <c r="BC47" s="1140" t="s">
        <v>535</v>
      </c>
      <c r="BE47" s="407"/>
      <c r="BF47" s="407" t="str">
        <f t="shared" si="3"/>
        <v>Территория действия тарифа</v>
      </c>
      <c r="BG47" s="407"/>
      <c r="BH47" s="407"/>
    </row>
    <row r="48" spans="1:60" ht="33.75" customHeight="1">
      <c r="A48" s="1240" t="s">
        <v>413</v>
      </c>
      <c r="B48" s="1240" t="s">
        <v>414</v>
      </c>
      <c r="C48" s="1240" t="s">
        <v>415</v>
      </c>
      <c r="D48" s="1240"/>
      <c r="E48" s="16125"/>
      <c r="F48" s="16125"/>
      <c r="G48" s="16124">
        <v>1</v>
      </c>
      <c r="H48" s="1240"/>
      <c r="I48" s="1240"/>
      <c r="J48" s="1240"/>
      <c r="K48" s="1240"/>
      <c r="L48" s="1241"/>
      <c r="M48" s="1242"/>
      <c r="N48" s="1242"/>
      <c r="O48" s="1242"/>
      <c r="P48" s="1289"/>
      <c r="Q48" s="1288"/>
      <c r="R48" s="269"/>
      <c r="S48" s="1364" t="str">
        <f>INDEX(PT_DIFFERENTIATION_NUM_CS,MATCH(C48,PT_DIFFERENTIATION_CS_ID,0))</f>
        <v>..</v>
      </c>
      <c r="T48" s="226" t="s">
        <v>651</v>
      </c>
      <c r="U48" s="217"/>
      <c r="V48" s="16111"/>
      <c r="W48" s="16111"/>
      <c r="X48" s="16111"/>
      <c r="Y48" s="16111"/>
      <c r="Z48" s="16111"/>
      <c r="AA48" s="16111"/>
      <c r="AB48" s="16111"/>
      <c r="AC48" s="16112"/>
      <c r="AD48" s="16110" t="str">
        <f>INDEX(PT_DIFFERENTIATION_CS,MATCH(C48,PT_DIFFERENTIATION_CS_ID,0))</f>
        <v/>
      </c>
      <c r="AE48" s="16111"/>
      <c r="AF48" s="16111"/>
      <c r="AG48" s="16111"/>
      <c r="AH48" s="16111"/>
      <c r="AI48" s="16111"/>
      <c r="AJ48" s="16111"/>
      <c r="AK48" s="16111"/>
      <c r="AL48" s="16111"/>
      <c r="AM48" s="16111"/>
      <c r="AN48" s="16111"/>
      <c r="AO48" s="16111"/>
      <c r="AP48" s="16111"/>
      <c r="AQ48" s="16111"/>
      <c r="AR48" s="16111"/>
      <c r="AS48" s="16111"/>
      <c r="AT48" s="16111"/>
      <c r="AU48" s="16111"/>
      <c r="AV48" s="16111"/>
      <c r="AW48" s="16111"/>
      <c r="AX48" s="16111"/>
      <c r="AY48" s="16111"/>
      <c r="AZ48" s="16111"/>
      <c r="BA48" s="16111"/>
      <c r="BB48" s="16112"/>
      <c r="BC48" s="1140" t="s">
        <v>652</v>
      </c>
      <c r="BE48" s="407"/>
      <c r="BF48" s="407" t="str">
        <f t="shared" si="3"/>
        <v>Наименование централизованной системы водоотведения</v>
      </c>
      <c r="BG48" s="407"/>
      <c r="BH48" s="407"/>
    </row>
    <row r="49" spans="1:60" s="14421" customFormat="1" ht="0" hidden="1" customHeight="1">
      <c r="A49" s="1221" t="s">
        <v>413</v>
      </c>
      <c r="B49" s="1221" t="s">
        <v>414</v>
      </c>
      <c r="C49" s="1221" t="s">
        <v>415</v>
      </c>
      <c r="D49" s="1221" t="s">
        <v>664</v>
      </c>
      <c r="E49" s="16125"/>
      <c r="F49" s="16125"/>
      <c r="G49" s="16125"/>
      <c r="H49" s="16124">
        <v>1</v>
      </c>
      <c r="I49" s="1221"/>
      <c r="J49" s="1221"/>
      <c r="K49" s="1221"/>
      <c r="L49" s="1224"/>
      <c r="M49" s="1194"/>
      <c r="N49" s="1194"/>
      <c r="O49" s="1194"/>
      <c r="P49" s="1368"/>
      <c r="Q49" s="1369"/>
      <c r="R49" s="273"/>
      <c r="S49" s="930"/>
      <c r="T49" s="1370"/>
      <c r="U49" s="1261"/>
      <c r="V49" s="16154"/>
      <c r="W49" s="16154"/>
      <c r="X49" s="16154"/>
      <c r="Y49" s="16154"/>
      <c r="Z49" s="16154"/>
      <c r="AA49" s="16154"/>
      <c r="AB49" s="16154"/>
      <c r="AC49" s="16155"/>
      <c r="AD49" s="16153"/>
      <c r="AE49" s="16154"/>
      <c r="AF49" s="16154"/>
      <c r="AG49" s="16154"/>
      <c r="AH49" s="16154"/>
      <c r="AI49" s="16154"/>
      <c r="AJ49" s="16154"/>
      <c r="AK49" s="16154"/>
      <c r="AL49" s="16154"/>
      <c r="AM49" s="16154"/>
      <c r="AN49" s="16154"/>
      <c r="AO49" s="16154"/>
      <c r="AP49" s="16154"/>
      <c r="AQ49" s="16154"/>
      <c r="AR49" s="16154"/>
      <c r="AS49" s="16154"/>
      <c r="AT49" s="16154"/>
      <c r="AU49" s="16154"/>
      <c r="AV49" s="16154"/>
      <c r="AW49" s="16154"/>
      <c r="AX49" s="16154"/>
      <c r="AY49" s="16154"/>
      <c r="AZ49" s="16154"/>
      <c r="BA49" s="16154"/>
      <c r="BB49" s="16155"/>
      <c r="BC49" s="1262" t="s">
        <v>539</v>
      </c>
      <c r="BE49" s="407"/>
      <c r="BF49" s="407" t="str">
        <f t="shared" si="3"/>
        <v/>
      </c>
      <c r="BG49" s="407"/>
      <c r="BH49" s="407"/>
    </row>
    <row r="50" spans="1:60" s="14421" customFormat="1" ht="0" hidden="1" customHeight="1">
      <c r="A50" s="1221" t="s">
        <v>413</v>
      </c>
      <c r="B50" s="1221" t="s">
        <v>414</v>
      </c>
      <c r="C50" s="1221" t="s">
        <v>415</v>
      </c>
      <c r="D50" s="1221" t="s">
        <v>664</v>
      </c>
      <c r="E50" s="16125"/>
      <c r="F50" s="16125"/>
      <c r="G50" s="16125"/>
      <c r="H50" s="16125"/>
      <c r="I50" s="16122" t="str">
        <f>S49&amp;".1"</f>
        <v>.1</v>
      </c>
      <c r="J50" s="1221"/>
      <c r="K50" s="1221"/>
      <c r="L50" s="1224" t="s">
        <v>540</v>
      </c>
      <c r="M50" s="417"/>
      <c r="N50" s="417"/>
      <c r="O50" s="417"/>
      <c r="P50" s="16123">
        <v>1</v>
      </c>
      <c r="Q50" s="1352"/>
      <c r="R50" s="272"/>
      <c r="S50" s="930"/>
      <c r="T50" s="1260"/>
      <c r="U50" s="1261"/>
      <c r="V50" s="16154"/>
      <c r="W50" s="16154"/>
      <c r="X50" s="16154"/>
      <c r="Y50" s="16154"/>
      <c r="Z50" s="16154"/>
      <c r="AA50" s="16154"/>
      <c r="AB50" s="16154"/>
      <c r="AC50" s="16155"/>
      <c r="AD50" s="16153"/>
      <c r="AE50" s="16154"/>
      <c r="AF50" s="16154"/>
      <c r="AG50" s="16154"/>
      <c r="AH50" s="16154"/>
      <c r="AI50" s="16154"/>
      <c r="AJ50" s="16154"/>
      <c r="AK50" s="16154"/>
      <c r="AL50" s="16154"/>
      <c r="AM50" s="16154"/>
      <c r="AN50" s="16154"/>
      <c r="AO50" s="16154"/>
      <c r="AP50" s="16154"/>
      <c r="AQ50" s="16154"/>
      <c r="AR50" s="16154"/>
      <c r="AS50" s="16154"/>
      <c r="AT50" s="16154"/>
      <c r="AU50" s="16154"/>
      <c r="AV50" s="16154"/>
      <c r="AW50" s="16154"/>
      <c r="AX50" s="16154"/>
      <c r="AY50" s="16154"/>
      <c r="AZ50" s="16154"/>
      <c r="BA50" s="16154"/>
      <c r="BB50" s="16155"/>
      <c r="BC50" s="1262"/>
      <c r="BE50" s="407"/>
      <c r="BF50" s="407" t="str">
        <f t="shared" si="3"/>
        <v/>
      </c>
      <c r="BG50" s="407"/>
      <c r="BH50" s="407"/>
    </row>
    <row r="51" spans="1:60" s="14421" customFormat="1" ht="0" hidden="1" customHeight="1">
      <c r="A51" s="1221" t="s">
        <v>413</v>
      </c>
      <c r="B51" s="1221" t="s">
        <v>414</v>
      </c>
      <c r="C51" s="1221" t="s">
        <v>415</v>
      </c>
      <c r="D51" s="1221" t="s">
        <v>664</v>
      </c>
      <c r="E51" s="16125"/>
      <c r="F51" s="16125"/>
      <c r="G51" s="16125"/>
      <c r="H51" s="16125"/>
      <c r="I51" s="16145"/>
      <c r="J51" s="16122" t="str">
        <f>S49&amp;".1"</f>
        <v>.1</v>
      </c>
      <c r="K51" s="1221"/>
      <c r="L51" s="1224"/>
      <c r="M51" s="417"/>
      <c r="N51" s="417"/>
      <c r="O51" s="417"/>
      <c r="P51" s="16123"/>
      <c r="Q51" s="16123">
        <v>1</v>
      </c>
      <c r="R51" s="273"/>
      <c r="S51" s="930"/>
      <c r="T51" s="1276"/>
      <c r="U51" s="1261"/>
      <c r="V51" s="16154"/>
      <c r="W51" s="16154"/>
      <c r="X51" s="16154"/>
      <c r="Y51" s="16154"/>
      <c r="Z51" s="16154"/>
      <c r="AA51" s="16154"/>
      <c r="AB51" s="16154"/>
      <c r="AC51" s="16155"/>
      <c r="AD51" s="16153"/>
      <c r="AE51" s="16154"/>
      <c r="AF51" s="16154"/>
      <c r="AG51" s="16154"/>
      <c r="AH51" s="16154"/>
      <c r="AI51" s="16154"/>
      <c r="AJ51" s="16154"/>
      <c r="AK51" s="16154"/>
      <c r="AL51" s="16154"/>
      <c r="AM51" s="16154"/>
      <c r="AN51" s="16198"/>
      <c r="AO51" s="16198"/>
      <c r="AP51" s="16154"/>
      <c r="AQ51" s="16154"/>
      <c r="AR51" s="16154"/>
      <c r="AS51" s="16154"/>
      <c r="AT51" s="16154"/>
      <c r="AU51" s="16154"/>
      <c r="AV51" s="16154"/>
      <c r="AW51" s="16154"/>
      <c r="AX51" s="16154"/>
      <c r="AY51" s="16154"/>
      <c r="AZ51" s="16154"/>
      <c r="BA51" s="16154"/>
      <c r="BB51" s="16155"/>
      <c r="BC51" s="1262"/>
      <c r="BE51" s="407"/>
      <c r="BF51" s="407" t="str">
        <f t="shared" si="3"/>
        <v/>
      </c>
      <c r="BG51" s="407"/>
      <c r="BH51" s="407"/>
    </row>
    <row r="52" spans="1:60" ht="11.25" customHeight="1">
      <c r="A52" s="1240" t="s">
        <v>413</v>
      </c>
      <c r="B52" s="1240" t="s">
        <v>414</v>
      </c>
      <c r="C52" s="1240" t="s">
        <v>415</v>
      </c>
      <c r="D52" s="1240" t="s">
        <v>664</v>
      </c>
      <c r="E52" s="16125"/>
      <c r="F52" s="16125"/>
      <c r="G52" s="16125"/>
      <c r="H52" s="16125"/>
      <c r="I52" s="16145"/>
      <c r="J52" s="16145"/>
      <c r="K52" s="16122" t="str">
        <f>S48&amp;".1"</f>
        <v>...1</v>
      </c>
      <c r="L52" s="1241"/>
      <c r="P52" s="16123"/>
      <c r="Q52" s="16123"/>
      <c r="R52" s="273">
        <v>1</v>
      </c>
      <c r="S52" s="16174" t="str">
        <f>$K52</f>
        <v>...1</v>
      </c>
      <c r="T52" s="16193"/>
      <c r="U52" s="217"/>
      <c r="V52" s="649"/>
      <c r="W52" s="1139"/>
      <c r="X52" s="649"/>
      <c r="Y52" s="1139"/>
      <c r="Z52" s="1596"/>
      <c r="AA52" s="1341" t="s">
        <v>66</v>
      </c>
      <c r="AB52" s="1596"/>
      <c r="AC52" s="1341" t="s">
        <v>66</v>
      </c>
      <c r="AD52" s="16044" t="s">
        <v>66</v>
      </c>
      <c r="AE52" s="16160"/>
      <c r="AF52" s="16080">
        <v>1</v>
      </c>
      <c r="AG52" s="16197"/>
      <c r="AH52" s="15973" t="s">
        <v>66</v>
      </c>
      <c r="AI52" s="16160"/>
      <c r="AJ52" s="16080">
        <v>1</v>
      </c>
      <c r="AK52" s="16196" t="s">
        <v>24</v>
      </c>
      <c r="AL52" s="15973" t="s">
        <v>66</v>
      </c>
      <c r="AM52" s="16070"/>
      <c r="AN52" s="16080">
        <v>1</v>
      </c>
      <c r="AO52" s="16190"/>
      <c r="AP52" s="16191" t="s">
        <v>66</v>
      </c>
      <c r="AQ52" s="228"/>
      <c r="AR52" s="1357">
        <v>1</v>
      </c>
      <c r="AS52" s="1363" t="s">
        <v>24</v>
      </c>
      <c r="AT52" s="649"/>
      <c r="AU52" s="1139"/>
      <c r="AV52" s="649"/>
      <c r="AW52" s="1139"/>
      <c r="AX52" s="1596"/>
      <c r="AY52" s="1341" t="s">
        <v>66</v>
      </c>
      <c r="AZ52" s="1596"/>
      <c r="BA52" s="1341" t="s">
        <v>66</v>
      </c>
      <c r="BB52" s="1226"/>
      <c r="BC52" s="16119" t="s">
        <v>636</v>
      </c>
      <c r="BE52" s="407"/>
      <c r="BF52" s="407" t="str">
        <f t="shared" si="3"/>
        <v/>
      </c>
      <c r="BG52" s="407"/>
      <c r="BH52" s="407"/>
    </row>
    <row r="53" spans="1:60" ht="11.25" customHeight="1">
      <c r="A53" s="1240"/>
      <c r="B53" s="1240"/>
      <c r="C53" s="1240"/>
      <c r="D53" s="1240"/>
      <c r="E53" s="16125"/>
      <c r="F53" s="16125"/>
      <c r="G53" s="16125"/>
      <c r="H53" s="16125"/>
      <c r="I53" s="16145"/>
      <c r="J53" s="16145"/>
      <c r="K53" s="16122"/>
      <c r="L53" s="1241"/>
      <c r="P53" s="16123"/>
      <c r="Q53" s="16123"/>
      <c r="R53" s="273"/>
      <c r="S53" s="16175"/>
      <c r="T53" s="16194"/>
      <c r="U53" s="217"/>
      <c r="V53" s="1270"/>
      <c r="W53" s="1367"/>
      <c r="X53" s="1270"/>
      <c r="Y53" s="1367"/>
      <c r="Z53" s="1270"/>
      <c r="AA53" s="1270"/>
      <c r="AB53" s="1270"/>
      <c r="AC53" s="1270"/>
      <c r="AD53" s="16045"/>
      <c r="AE53" s="16160"/>
      <c r="AF53" s="16080"/>
      <c r="AG53" s="16197"/>
      <c r="AH53" s="15973"/>
      <c r="AI53" s="16160"/>
      <c r="AJ53" s="16080"/>
      <c r="AK53" s="16196"/>
      <c r="AL53" s="15973"/>
      <c r="AM53" s="16075"/>
      <c r="AN53" s="16080"/>
      <c r="AO53" s="16190"/>
      <c r="AP53" s="16192"/>
      <c r="AQ53" s="233"/>
      <c r="AR53" s="331"/>
      <c r="AS53" s="331" t="s">
        <v>637</v>
      </c>
      <c r="AT53" s="1270"/>
      <c r="AU53" s="1367"/>
      <c r="AV53" s="1270"/>
      <c r="AW53" s="1367"/>
      <c r="AX53" s="1270"/>
      <c r="AY53" s="1270"/>
      <c r="AZ53" s="1270"/>
      <c r="BA53" s="1270"/>
      <c r="BB53" s="1274"/>
      <c r="BC53" s="16120"/>
      <c r="BE53" s="407"/>
      <c r="BF53" s="407"/>
      <c r="BG53" s="407"/>
      <c r="BH53" s="407"/>
    </row>
    <row r="54" spans="1:60" ht="11.25" customHeight="1">
      <c r="A54" s="1240" t="s">
        <v>413</v>
      </c>
      <c r="B54" s="1240"/>
      <c r="C54" s="1240"/>
      <c r="D54" s="1240"/>
      <c r="E54" s="16125"/>
      <c r="F54" s="16125"/>
      <c r="G54" s="16125"/>
      <c r="H54" s="16125"/>
      <c r="I54" s="16145"/>
      <c r="J54" s="16145"/>
      <c r="K54" s="16122"/>
      <c r="L54" s="1241"/>
      <c r="P54" s="16123"/>
      <c r="Q54" s="16123"/>
      <c r="R54" s="273"/>
      <c r="S54" s="16175"/>
      <c r="T54" s="16194"/>
      <c r="U54" s="217"/>
      <c r="V54" s="1270"/>
      <c r="W54" s="1367"/>
      <c r="X54" s="1270"/>
      <c r="Y54" s="1367"/>
      <c r="Z54" s="1270"/>
      <c r="AA54" s="1270"/>
      <c r="AB54" s="1270"/>
      <c r="AC54" s="1270"/>
      <c r="AD54" s="16045"/>
      <c r="AE54" s="16160"/>
      <c r="AF54" s="16080"/>
      <c r="AG54" s="16197"/>
      <c r="AH54" s="15973"/>
      <c r="AI54" s="16160"/>
      <c r="AJ54" s="16080"/>
      <c r="AK54" s="16196"/>
      <c r="AL54" s="15973"/>
      <c r="AM54" s="233"/>
      <c r="AN54" s="1371"/>
      <c r="AO54" s="1371" t="s">
        <v>657</v>
      </c>
      <c r="AP54" s="331"/>
      <c r="AQ54" s="331"/>
      <c r="AR54" s="331"/>
      <c r="AS54" s="1270"/>
      <c r="AT54" s="1270"/>
      <c r="AU54" s="1367"/>
      <c r="AV54" s="1270"/>
      <c r="AW54" s="1367"/>
      <c r="AX54" s="1270"/>
      <c r="AY54" s="1270"/>
      <c r="AZ54" s="1270"/>
      <c r="BA54" s="1270"/>
      <c r="BB54" s="1274"/>
      <c r="BC54" s="16120"/>
      <c r="BE54" s="407"/>
      <c r="BF54" s="407"/>
      <c r="BG54" s="407"/>
      <c r="BH54" s="407"/>
    </row>
    <row r="55" spans="1:60" ht="11.25" customHeight="1">
      <c r="A55" s="1240" t="s">
        <v>413</v>
      </c>
      <c r="B55" s="1240"/>
      <c r="C55" s="1240"/>
      <c r="D55" s="1240"/>
      <c r="E55" s="16125"/>
      <c r="F55" s="16125"/>
      <c r="G55" s="16125"/>
      <c r="H55" s="16125"/>
      <c r="I55" s="16145"/>
      <c r="J55" s="16145"/>
      <c r="K55" s="16122"/>
      <c r="L55" s="1241"/>
      <c r="P55" s="16123"/>
      <c r="Q55" s="16123"/>
      <c r="R55" s="273"/>
      <c r="S55" s="16175"/>
      <c r="T55" s="16194"/>
      <c r="U55" s="217"/>
      <c r="V55" s="1270"/>
      <c r="W55" s="1367"/>
      <c r="X55" s="1270"/>
      <c r="Y55" s="1367"/>
      <c r="Z55" s="1270"/>
      <c r="AA55" s="1270"/>
      <c r="AB55" s="1270"/>
      <c r="AC55" s="1270"/>
      <c r="AD55" s="16045"/>
      <c r="AE55" s="16160"/>
      <c r="AF55" s="16080"/>
      <c r="AG55" s="16197"/>
      <c r="AH55" s="15973"/>
      <c r="AI55" s="211"/>
      <c r="AJ55" s="330"/>
      <c r="AK55" s="230" t="s">
        <v>658</v>
      </c>
      <c r="AL55" s="1270"/>
      <c r="AM55" s="1270"/>
      <c r="AN55" s="1270"/>
      <c r="AO55" s="1270"/>
      <c r="AP55" s="1270"/>
      <c r="AQ55" s="1270"/>
      <c r="AR55" s="1270"/>
      <c r="AS55" s="1270"/>
      <c r="AT55" s="1270"/>
      <c r="AU55" s="1367"/>
      <c r="AV55" s="1270"/>
      <c r="AW55" s="1367"/>
      <c r="AX55" s="1270"/>
      <c r="AY55" s="1270"/>
      <c r="AZ55" s="1270"/>
      <c r="BA55" s="1270"/>
      <c r="BB55" s="1274"/>
      <c r="BC55" s="16120"/>
      <c r="BE55" s="407"/>
      <c r="BF55" s="407"/>
      <c r="BG55" s="407"/>
      <c r="BH55" s="407"/>
    </row>
    <row r="56" spans="1:60" ht="11.25" customHeight="1">
      <c r="A56" s="1240" t="s">
        <v>413</v>
      </c>
      <c r="B56" s="1240" t="s">
        <v>414</v>
      </c>
      <c r="C56" s="1240" t="s">
        <v>415</v>
      </c>
      <c r="D56" s="1240" t="s">
        <v>664</v>
      </c>
      <c r="E56" s="16125"/>
      <c r="F56" s="16125"/>
      <c r="G56" s="16125"/>
      <c r="H56" s="16125"/>
      <c r="I56" s="16145"/>
      <c r="J56" s="16145"/>
      <c r="K56" s="16122"/>
      <c r="L56" s="1241"/>
      <c r="P56" s="16123"/>
      <c r="Q56" s="16123"/>
      <c r="R56" s="273"/>
      <c r="S56" s="16176"/>
      <c r="T56" s="16195"/>
      <c r="U56" s="217"/>
      <c r="V56" s="1270"/>
      <c r="W56" s="1271" t="str">
        <f>Z52&amp;"-"&amp;AB52</f>
        <v>-</v>
      </c>
      <c r="X56" s="1270"/>
      <c r="Y56" s="1271" t="str">
        <f>AB52&amp;"-"&amp;AD52</f>
        <v>-да</v>
      </c>
      <c r="Z56" s="1270"/>
      <c r="AA56" s="1270"/>
      <c r="AB56" s="1270"/>
      <c r="AC56" s="1270"/>
      <c r="AD56" s="15978"/>
      <c r="AE56" s="229"/>
      <c r="AF56" s="231"/>
      <c r="AG56" s="331" t="s">
        <v>640</v>
      </c>
      <c r="AH56" s="1270"/>
      <c r="AI56" s="1270"/>
      <c r="AJ56" s="1270"/>
      <c r="AK56" s="1270"/>
      <c r="AL56" s="1270"/>
      <c r="AM56" s="1270"/>
      <c r="AN56" s="1270"/>
      <c r="AO56" s="1270"/>
      <c r="AP56" s="1270"/>
      <c r="AQ56" s="1270"/>
      <c r="AR56" s="1270"/>
      <c r="AS56" s="1270"/>
      <c r="AT56" s="1270"/>
      <c r="AU56" s="1271" t="str">
        <f>AX52&amp;"-"&amp;AZ52</f>
        <v>-</v>
      </c>
      <c r="AV56" s="1270"/>
      <c r="AW56" s="1271" t="str">
        <f>AZ52&amp;"-"&amp;BB52</f>
        <v>-</v>
      </c>
      <c r="AX56" s="1270"/>
      <c r="AY56" s="1270"/>
      <c r="AZ56" s="1270"/>
      <c r="BA56" s="1270"/>
      <c r="BB56" s="1273" t="str">
        <f>BE52&amp;"-"&amp;BG52</f>
        <v>-</v>
      </c>
      <c r="BC56" s="16120"/>
      <c r="BE56" s="407"/>
      <c r="BF56" s="407" t="str">
        <f t="shared" ref="BF56:BF63" si="4">IF(T56="","",T56)</f>
        <v/>
      </c>
      <c r="BG56" s="407"/>
      <c r="BH56" s="407"/>
    </row>
    <row r="57" spans="1:60" ht="11.25" customHeight="1">
      <c r="A57" s="1240" t="s">
        <v>413</v>
      </c>
      <c r="B57" s="1240" t="s">
        <v>414</v>
      </c>
      <c r="C57" s="1240" t="s">
        <v>415</v>
      </c>
      <c r="D57" s="1240" t="s">
        <v>664</v>
      </c>
      <c r="E57" s="16125"/>
      <c r="F57" s="16125"/>
      <c r="G57" s="16125"/>
      <c r="H57" s="16125"/>
      <c r="I57" s="16145"/>
      <c r="J57" s="16122"/>
      <c r="K57" s="1240"/>
      <c r="L57" s="1241"/>
      <c r="P57" s="16123"/>
      <c r="Q57" s="16123"/>
      <c r="R57" s="272"/>
      <c r="S57" s="1160"/>
      <c r="T57" s="204" t="s">
        <v>602</v>
      </c>
      <c r="U57" s="282"/>
      <c r="V57" s="282"/>
      <c r="W57" s="282"/>
      <c r="X57" s="282"/>
      <c r="Y57" s="282"/>
      <c r="Z57" s="282"/>
      <c r="AA57" s="282"/>
      <c r="AB57" s="282"/>
      <c r="AC57" s="241"/>
      <c r="AD57" s="1376"/>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16121"/>
      <c r="BE57" s="407"/>
      <c r="BF57" s="407" t="str">
        <f t="shared" si="4"/>
        <v>Добавить строку</v>
      </c>
      <c r="BG57" s="407"/>
      <c r="BH57" s="407"/>
    </row>
    <row r="58" spans="1:60" s="14421" customFormat="1" ht="0" hidden="1" customHeight="1">
      <c r="A58" s="1221" t="s">
        <v>413</v>
      </c>
      <c r="B58" s="1221" t="s">
        <v>414</v>
      </c>
      <c r="C58" s="1221" t="s">
        <v>415</v>
      </c>
      <c r="D58" s="1221" t="s">
        <v>664</v>
      </c>
      <c r="E58" s="16125"/>
      <c r="F58" s="16125"/>
      <c r="G58" s="16125"/>
      <c r="H58" s="16125"/>
      <c r="I58" s="16122"/>
      <c r="J58" s="1221"/>
      <c r="K58" s="1221"/>
      <c r="L58" s="1224"/>
      <c r="M58" s="417"/>
      <c r="N58" s="417"/>
      <c r="O58" s="417"/>
      <c r="P58" s="16123"/>
      <c r="Q58" s="1352"/>
      <c r="R58" s="272"/>
      <c r="S58" s="1263"/>
      <c r="T58" s="1264"/>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6"/>
      <c r="BE58" s="407"/>
      <c r="BF58" s="407" t="str">
        <f t="shared" si="4"/>
        <v/>
      </c>
      <c r="BG58" s="407"/>
      <c r="BH58" s="407"/>
    </row>
    <row r="59" spans="1:60" s="14421" customFormat="1" ht="0" hidden="1" customHeight="1">
      <c r="A59" s="1221" t="s">
        <v>413</v>
      </c>
      <c r="B59" s="1221" t="s">
        <v>414</v>
      </c>
      <c r="C59" s="1221" t="s">
        <v>415</v>
      </c>
      <c r="D59" s="1221" t="s">
        <v>664</v>
      </c>
      <c r="E59" s="16125"/>
      <c r="F59" s="16125"/>
      <c r="G59" s="16125"/>
      <c r="H59" s="16124"/>
      <c r="I59" s="1221"/>
      <c r="J59" s="1221"/>
      <c r="K59" s="1221"/>
      <c r="L59" s="1224"/>
      <c r="M59" s="1194"/>
      <c r="N59" s="1194"/>
      <c r="O59" s="425"/>
      <c r="P59" s="295"/>
      <c r="Q59" s="1222"/>
      <c r="R59" s="1278"/>
      <c r="S59" s="1263"/>
      <c r="T59" s="1264"/>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6"/>
      <c r="BE59" s="407"/>
      <c r="BF59" s="407" t="str">
        <f t="shared" si="4"/>
        <v/>
      </c>
      <c r="BG59" s="407"/>
      <c r="BH59" s="407"/>
    </row>
    <row r="60" spans="1:60" s="14418" customFormat="1" ht="0" hidden="1" customHeight="1">
      <c r="A60" s="1221" t="s">
        <v>413</v>
      </c>
      <c r="B60" s="1221" t="s">
        <v>414</v>
      </c>
      <c r="C60" s="1221" t="s">
        <v>415</v>
      </c>
      <c r="D60" s="1193"/>
      <c r="E60" s="16125"/>
      <c r="F60" s="16125"/>
      <c r="G60" s="16124"/>
      <c r="H60" s="1193"/>
      <c r="I60" s="1193"/>
      <c r="J60" s="1193"/>
      <c r="K60" s="1193"/>
      <c r="L60" s="1365"/>
      <c r="M60" s="1194"/>
      <c r="N60" s="1194"/>
      <c r="P60" s="1195"/>
      <c r="Q60" s="1196"/>
      <c r="R60" s="1195"/>
      <c r="S60" s="1201"/>
      <c r="T60" s="1204"/>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V60" s="1203"/>
      <c r="AW60" s="1203"/>
      <c r="AX60" s="1203"/>
      <c r="AY60" s="1203"/>
      <c r="AZ60" s="1203"/>
      <c r="BA60" s="1203"/>
      <c r="BB60" s="1203"/>
      <c r="BC60" s="1203"/>
      <c r="BE60" s="687"/>
      <c r="BF60" s="687" t="str">
        <f t="shared" si="4"/>
        <v/>
      </c>
      <c r="BG60" s="687"/>
      <c r="BH60" s="687"/>
    </row>
    <row r="61" spans="1:60" s="14418" customFormat="1" ht="0" hidden="1" customHeight="1">
      <c r="A61" s="1221" t="s">
        <v>413</v>
      </c>
      <c r="B61" s="1221" t="s">
        <v>414</v>
      </c>
      <c r="C61" s="1193"/>
      <c r="D61" s="1193"/>
      <c r="E61" s="16125"/>
      <c r="F61" s="16124"/>
      <c r="G61" s="1193"/>
      <c r="H61" s="1193"/>
      <c r="I61" s="1193"/>
      <c r="J61" s="1193"/>
      <c r="K61" s="1193"/>
      <c r="L61" s="1365"/>
      <c r="M61" s="1200"/>
      <c r="N61" s="1200"/>
      <c r="P61" s="1195"/>
      <c r="Q61" s="1196"/>
      <c r="R61" s="1195"/>
      <c r="S61" s="1201"/>
      <c r="T61" s="1204" t="s">
        <v>290</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V61" s="1203"/>
      <c r="AW61" s="1203"/>
      <c r="AX61" s="1203"/>
      <c r="AY61" s="1203"/>
      <c r="AZ61" s="1203"/>
      <c r="BA61" s="1203"/>
      <c r="BB61" s="1203"/>
      <c r="BC61" s="1203"/>
      <c r="BE61" s="687"/>
      <c r="BF61" s="687" t="str">
        <f t="shared" si="4"/>
        <v>Добавить централизованную систему для дифференциации</v>
      </c>
      <c r="BG61" s="687"/>
      <c r="BH61" s="687"/>
    </row>
    <row r="62" spans="1:60" s="14421" customFormat="1" ht="0" hidden="1" customHeight="1">
      <c r="A62" s="1221" t="s">
        <v>413</v>
      </c>
      <c r="B62" s="1221"/>
      <c r="C62" s="1221"/>
      <c r="D62" s="1221"/>
      <c r="E62" s="16124"/>
      <c r="F62" s="1221"/>
      <c r="G62" s="1221"/>
      <c r="H62" s="1221"/>
      <c r="I62" s="1221"/>
      <c r="J62" s="1221"/>
      <c r="K62" s="1221"/>
      <c r="L62" s="1224"/>
      <c r="M62" s="1200"/>
      <c r="N62" s="1200"/>
      <c r="O62" s="425"/>
      <c r="P62" s="295"/>
      <c r="Q62" s="1222"/>
      <c r="R62" s="295"/>
      <c r="S62" s="1201"/>
      <c r="T62" s="1204" t="s">
        <v>326</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V62" s="1203"/>
      <c r="AW62" s="1203"/>
      <c r="AX62" s="1203"/>
      <c r="AY62" s="1203"/>
      <c r="AZ62" s="1203"/>
      <c r="BA62" s="1203"/>
      <c r="BB62" s="1203"/>
      <c r="BC62" s="1203"/>
      <c r="BE62" s="407"/>
      <c r="BF62" s="407" t="str">
        <f t="shared" si="4"/>
        <v>Добавить территорию для дифференциации</v>
      </c>
      <c r="BG62" s="407"/>
      <c r="BH62" s="407"/>
    </row>
    <row r="63" spans="1:60" s="14418" customFormat="1" ht="0" hidden="1" customHeight="1">
      <c r="A63" s="1193"/>
      <c r="B63" s="1193"/>
      <c r="C63" s="1193"/>
      <c r="D63" s="1193"/>
      <c r="E63" s="1221"/>
      <c r="F63" s="1193"/>
      <c r="G63" s="1193"/>
      <c r="H63" s="1193"/>
      <c r="I63" s="1193"/>
      <c r="J63" s="1193"/>
      <c r="K63" s="1193"/>
      <c r="L63" s="1365"/>
      <c r="M63" s="1200"/>
      <c r="N63" s="1200"/>
      <c r="P63" s="1195"/>
      <c r="Q63" s="1196"/>
      <c r="R63" s="1195"/>
      <c r="S63" s="1201"/>
      <c r="T63" s="1204" t="s">
        <v>390</v>
      </c>
      <c r="U63" s="1203"/>
      <c r="V63" s="1203"/>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R63" s="1203"/>
      <c r="AS63" s="1203"/>
      <c r="AT63" s="1203"/>
      <c r="AU63" s="1203"/>
      <c r="AV63" s="1203"/>
      <c r="AW63" s="1203"/>
      <c r="AX63" s="1203"/>
      <c r="AY63" s="1203"/>
      <c r="AZ63" s="1203"/>
      <c r="BA63" s="1203"/>
      <c r="BB63" s="1203"/>
      <c r="BC63" s="1203"/>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5"/>
      <c r="T65" s="16144"/>
      <c r="U65" s="16144"/>
      <c r="V65" s="16144"/>
      <c r="W65" s="16144"/>
      <c r="X65" s="16144"/>
      <c r="Y65" s="16144"/>
      <c r="Z65" s="16144"/>
      <c r="AA65" s="16144"/>
      <c r="AB65" s="16144"/>
      <c r="AC65" s="16144"/>
      <c r="AD65" s="16144"/>
      <c r="AE65" s="16144"/>
      <c r="AF65" s="16144"/>
      <c r="AG65" s="16144"/>
      <c r="AH65" s="16144"/>
      <c r="AI65" s="16144"/>
      <c r="AJ65" s="16144"/>
      <c r="AK65" s="16144"/>
      <c r="AL65" s="16144"/>
      <c r="AM65" s="16144"/>
      <c r="AN65" s="16144"/>
      <c r="AO65" s="16144"/>
      <c r="AP65" s="16144"/>
      <c r="AQ65" s="16144"/>
      <c r="AR65" s="16144"/>
      <c r="AS65" s="16144"/>
      <c r="AT65" s="16144"/>
      <c r="AU65" s="16144"/>
      <c r="AV65" s="16144"/>
      <c r="AW65" s="16144"/>
      <c r="AX65" s="16144"/>
      <c r="AY65" s="16144"/>
      <c r="AZ65" s="16144"/>
      <c r="BA65" s="16144"/>
      <c r="BB65" s="16144"/>
      <c r="BC65" s="16144"/>
    </row>
    <row r="66" spans="15:55" ht="14.25" customHeight="1">
      <c r="O66" s="44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c r="AV66" s="1351"/>
      <c r="AW66" s="1351"/>
      <c r="AX66" s="1351"/>
      <c r="AY66" s="1351"/>
      <c r="AZ66" s="1351"/>
      <c r="BA66" s="1351"/>
      <c r="BB66" s="1351"/>
      <c r="BC66" s="1351"/>
    </row>
    <row r="67" spans="15:55" ht="14.25" customHeight="1">
      <c r="O67" s="443"/>
      <c r="S67" s="1135"/>
      <c r="T67" s="16144"/>
      <c r="U67" s="16144"/>
      <c r="V67" s="16144"/>
      <c r="W67" s="16144"/>
      <c r="X67" s="16144"/>
      <c r="Y67" s="16144"/>
      <c r="Z67" s="16144"/>
      <c r="AA67" s="16144"/>
      <c r="AB67" s="16144"/>
      <c r="AC67" s="16144"/>
      <c r="AD67" s="16144"/>
      <c r="AE67" s="16144"/>
      <c r="AF67" s="16144"/>
      <c r="AG67" s="16144"/>
      <c r="AH67" s="16144"/>
      <c r="AI67" s="16144"/>
      <c r="AJ67" s="16144"/>
      <c r="AK67" s="16144"/>
      <c r="AL67" s="16144"/>
      <c r="AM67" s="16144"/>
      <c r="AN67" s="16144"/>
      <c r="AO67" s="16144"/>
      <c r="AP67" s="16144"/>
      <c r="AQ67" s="16144"/>
      <c r="AR67" s="16144"/>
      <c r="AS67" s="16144"/>
      <c r="AT67" s="16144"/>
      <c r="AU67" s="16144"/>
      <c r="AV67" s="16144"/>
      <c r="AW67" s="16144"/>
      <c r="AX67" s="16144"/>
      <c r="AY67" s="16144"/>
      <c r="AZ67" s="16144"/>
      <c r="BA67" s="16144"/>
      <c r="BB67" s="16144"/>
      <c r="BC67" s="16144"/>
    </row>
    <row r="68" spans="15:55" ht="14.25" customHeight="1">
      <c r="O68" s="44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D362"/>
  <sheetViews>
    <sheetView showGridLines="0" tabSelected="1" topLeftCell="EC34" zoomScale="80" workbookViewId="0">
      <selection activeCell="CC341" sqref="CC341"/>
    </sheetView>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4.140625" style="14419" hidden="1" customWidth="1"/>
    <col min="10" max="10" width="9.85546875" style="14419" hidden="1" customWidth="1"/>
    <col min="11" max="11" width="14.7109375" style="14419" hidden="1" customWidth="1"/>
    <col min="12" max="12" width="19.140625" style="14445" hidden="1" customWidth="1"/>
    <col min="13" max="14" width="12.28515625" style="14423" hidden="1" customWidth="1"/>
    <col min="15" max="15" width="23.42578125" style="14423" hidden="1" customWidth="1"/>
    <col min="16" max="16" width="3.7109375" style="14446" customWidth="1"/>
    <col min="17" max="18" width="3.7109375" style="14425" customWidth="1"/>
    <col min="19" max="19" width="12.7109375" style="14426" customWidth="1"/>
    <col min="20" max="20" width="35.7109375" style="14427" customWidth="1"/>
    <col min="21" max="21" width="0.140625" style="14427" customWidth="1"/>
    <col min="22" max="22" width="19.7109375" style="14427" hidden="1" customWidth="1"/>
    <col min="23" max="28" width="19.7109375" style="14433" hidden="1" customWidth="1"/>
    <col min="29" max="29" width="11.7109375" style="14427" hidden="1" customWidth="1"/>
    <col min="30" max="30" width="3.7109375" style="14427" hidden="1" customWidth="1"/>
    <col min="31" max="31" width="11.7109375" style="14427" hidden="1" customWidth="1"/>
    <col min="32" max="32" width="8.5703125" style="14427" hidden="1" customWidth="1"/>
    <col min="33" max="33" width="19.7109375" style="14427" customWidth="1"/>
    <col min="34" max="38" width="19.7109375" style="14433" customWidth="1"/>
    <col min="39" max="39" width="19.7109375" style="14427" customWidth="1"/>
    <col min="40" max="40" width="11.7109375" style="14427" customWidth="1"/>
    <col min="41" max="41" width="3.7109375" style="14427" customWidth="1"/>
    <col min="42" max="42" width="11.7109375" style="14427" customWidth="1"/>
    <col min="43" max="43" width="8.5703125" style="14427" customWidth="1"/>
    <col min="142" max="142" width="10.5703125" style="15855"/>
    <col min="153" max="153" width="10.5703125" hidden="1"/>
    <col min="154" max="154" width="4.7109375" style="14427" customWidth="1"/>
    <col min="155" max="155" width="115.7109375" style="14427" customWidth="1"/>
    <col min="156" max="157" width="10.5703125" style="14421"/>
    <col min="158" max="158" width="11.140625" style="14421" customWidth="1"/>
    <col min="159" max="160" width="10.5703125" style="14421"/>
  </cols>
  <sheetData>
    <row r="1" spans="1:160" ht="14.25" hidden="1" customHeight="1">
      <c r="AC1" s="244"/>
      <c r="AN1" s="244"/>
      <c r="AR1" s="1892"/>
      <c r="AS1" s="1892"/>
      <c r="AT1" s="1892"/>
      <c r="AU1" s="1892"/>
      <c r="AV1" s="1892"/>
      <c r="AW1" s="1892"/>
      <c r="AX1" s="1892"/>
      <c r="AY1" s="1892"/>
      <c r="AZ1" s="1892"/>
      <c r="BA1" s="1892"/>
      <c r="BB1" s="1892"/>
      <c r="BC1" s="1892"/>
      <c r="BD1" s="1892"/>
      <c r="BE1" s="1892"/>
      <c r="BF1" s="1892"/>
      <c r="BG1" s="1892"/>
      <c r="BH1" s="1892"/>
      <c r="BI1" s="1892"/>
      <c r="BJ1" s="1892"/>
      <c r="BK1" s="1892"/>
      <c r="BL1" s="1892"/>
      <c r="BM1" s="1892"/>
      <c r="BN1" s="1892"/>
      <c r="BO1" s="1892"/>
      <c r="BP1" s="1892"/>
      <c r="BQ1" s="1892"/>
      <c r="BR1" s="1892"/>
      <c r="BS1" s="1892"/>
      <c r="BT1" s="1892"/>
      <c r="BU1" s="1892"/>
      <c r="BV1" s="1892"/>
      <c r="BW1" s="1892"/>
      <c r="BX1" s="1892"/>
      <c r="BY1" s="1892"/>
      <c r="BZ1" s="1892"/>
      <c r="CA1" s="1892"/>
      <c r="CB1" s="1892"/>
      <c r="CC1" s="1892"/>
      <c r="CD1" s="1892"/>
      <c r="CE1" s="1892"/>
      <c r="CF1" s="1892"/>
      <c r="CG1" s="1892"/>
      <c r="CH1" s="1892"/>
      <c r="CI1" s="1892"/>
      <c r="CJ1" s="1892"/>
      <c r="CK1" s="1892"/>
      <c r="CL1" s="1892"/>
      <c r="CM1" s="1892"/>
      <c r="CN1" s="1892"/>
      <c r="CO1" s="1892"/>
      <c r="CP1" s="1892"/>
      <c r="CQ1" s="1892"/>
      <c r="CR1" s="1892"/>
      <c r="CS1" s="1892"/>
      <c r="CT1" s="1892"/>
      <c r="CU1" s="1892"/>
      <c r="CV1" s="1892"/>
      <c r="CW1" s="1892"/>
      <c r="CX1" s="1892"/>
      <c r="CY1" s="1892"/>
      <c r="CZ1" s="1892"/>
      <c r="DA1" s="1892"/>
      <c r="DB1" s="1892"/>
      <c r="DC1" s="1892"/>
      <c r="DD1" s="1892"/>
      <c r="DE1" s="1892"/>
      <c r="DF1" s="1892"/>
      <c r="DG1" s="1892"/>
      <c r="DH1" s="1892"/>
      <c r="DI1" s="1892"/>
      <c r="DJ1" s="1892"/>
      <c r="DK1" s="1892"/>
      <c r="DL1" s="1892"/>
      <c r="DM1" s="1892"/>
      <c r="DN1" s="1892"/>
      <c r="DO1" s="1892"/>
      <c r="DP1" s="1892"/>
      <c r="DQ1" s="1892"/>
      <c r="DR1" s="1892"/>
      <c r="DS1" s="1892"/>
      <c r="DT1" s="1892"/>
      <c r="DU1" s="1892"/>
      <c r="DV1" s="1892"/>
      <c r="DW1" s="1892"/>
      <c r="DX1" s="1892"/>
      <c r="DY1" s="1892"/>
      <c r="DZ1" s="1892"/>
      <c r="EA1" s="1892"/>
      <c r="EB1" s="1892"/>
      <c r="EC1" s="1892"/>
      <c r="ED1" s="1892"/>
      <c r="EE1" s="1892"/>
      <c r="EF1" s="1892"/>
      <c r="EG1" s="1892"/>
      <c r="EH1" s="1892"/>
      <c r="EI1" s="1892"/>
      <c r="EJ1" s="1892"/>
      <c r="EK1" s="1892"/>
      <c r="EL1" s="1892"/>
      <c r="EM1" s="14447"/>
      <c r="EN1" s="14447"/>
      <c r="EO1" s="14447"/>
      <c r="EP1" s="14447"/>
      <c r="EQ1" s="14447"/>
      <c r="ER1" s="14447"/>
      <c r="ES1" s="14447"/>
      <c r="ET1" s="14447"/>
      <c r="EU1" s="14447"/>
      <c r="EV1" s="14447"/>
      <c r="EW1" s="14447"/>
    </row>
    <row r="2" spans="1:160" ht="23.25" hidden="1" customHeight="1">
      <c r="A2" s="1240"/>
      <c r="B2" s="1240"/>
      <c r="C2" s="1240"/>
      <c r="D2" s="1240"/>
      <c r="E2" s="16124">
        <v>1</v>
      </c>
      <c r="F2" s="1240"/>
      <c r="G2" s="1240"/>
      <c r="H2" s="1240"/>
      <c r="I2" s="1240"/>
      <c r="J2" s="1240"/>
      <c r="K2" s="1240"/>
      <c r="L2" s="1241"/>
      <c r="M2" s="1242"/>
      <c r="N2" s="1242"/>
      <c r="O2" s="1242"/>
      <c r="P2" s="277"/>
      <c r="Q2" s="276"/>
      <c r="R2" s="271"/>
      <c r="S2" s="1364" t="e">
        <f>INDEX(PT_DIFFERENTIATION_NUM_NTAR,MATCH(A2,PT_DIFFERENTIATION_NTAR_ID,0))</f>
        <v>#N/A</v>
      </c>
      <c r="T2" s="215" t="s">
        <v>158</v>
      </c>
      <c r="U2" s="217"/>
      <c r="V2" s="16110"/>
      <c r="W2" s="16111"/>
      <c r="X2" s="16111"/>
      <c r="Y2" s="16111"/>
      <c r="Z2" s="16111"/>
      <c r="AA2" s="16111"/>
      <c r="AB2" s="16111"/>
      <c r="AC2" s="16111"/>
      <c r="AD2" s="16111"/>
      <c r="AE2" s="16111"/>
      <c r="AF2" s="16112"/>
      <c r="AG2" s="16110" t="e">
        <f>INDEX(PT_DIFFERENTIATION_NTAR,MATCH(A2,PT_DIFFERENTIATION_NTAR_ID,0))</f>
        <v>#N/A</v>
      </c>
      <c r="AH2" s="16111"/>
      <c r="AI2" s="16111"/>
      <c r="AJ2" s="16111"/>
      <c r="AK2" s="16111"/>
      <c r="AL2" s="16111"/>
      <c r="AM2" s="16111"/>
      <c r="AN2" s="16111"/>
      <c r="AO2" s="16111"/>
      <c r="AP2" s="16111"/>
      <c r="AQ2" s="16111"/>
      <c r="AR2" s="16110"/>
      <c r="AS2" s="16111"/>
      <c r="AT2" s="16111"/>
      <c r="AU2" s="16111"/>
      <c r="AV2" s="16111"/>
      <c r="AW2" s="16111"/>
      <c r="AX2" s="16111"/>
      <c r="AY2" s="16111"/>
      <c r="AZ2" s="16111"/>
      <c r="BA2" s="16111"/>
      <c r="BB2" s="16112"/>
      <c r="BC2" s="16110"/>
      <c r="BD2" s="16111"/>
      <c r="BE2" s="16111"/>
      <c r="BF2" s="16111"/>
      <c r="BG2" s="16111"/>
      <c r="BH2" s="16111"/>
      <c r="BI2" s="16111"/>
      <c r="BJ2" s="16111"/>
      <c r="BK2" s="16111"/>
      <c r="BL2" s="16111"/>
      <c r="BM2" s="16112"/>
      <c r="BN2" s="16110"/>
      <c r="BO2" s="16111"/>
      <c r="BP2" s="16111"/>
      <c r="BQ2" s="16111"/>
      <c r="BR2" s="16111"/>
      <c r="BS2" s="16111"/>
      <c r="BT2" s="16111"/>
      <c r="BU2" s="16111"/>
      <c r="BV2" s="16111"/>
      <c r="BW2" s="16111"/>
      <c r="BX2" s="16112"/>
      <c r="BY2" s="16110"/>
      <c r="BZ2" s="16111"/>
      <c r="CA2" s="16111"/>
      <c r="CB2" s="16111"/>
      <c r="CC2" s="16111"/>
      <c r="CD2" s="16111"/>
      <c r="CE2" s="16111"/>
      <c r="CF2" s="16111"/>
      <c r="CG2" s="16111"/>
      <c r="CH2" s="16111"/>
      <c r="CI2" s="16112"/>
      <c r="CJ2" s="16110"/>
      <c r="CK2" s="16111"/>
      <c r="CL2" s="16111"/>
      <c r="CM2" s="16111"/>
      <c r="CN2" s="16111"/>
      <c r="CO2" s="16111"/>
      <c r="CP2" s="16111"/>
      <c r="CQ2" s="16111"/>
      <c r="CR2" s="16111"/>
      <c r="CS2" s="16111"/>
      <c r="CT2" s="16112"/>
      <c r="CU2" s="16110"/>
      <c r="CV2" s="16111"/>
      <c r="CW2" s="16111"/>
      <c r="CX2" s="16111"/>
      <c r="CY2" s="16111"/>
      <c r="CZ2" s="16111"/>
      <c r="DA2" s="16111"/>
      <c r="DB2" s="16111"/>
      <c r="DC2" s="16111"/>
      <c r="DD2" s="16111"/>
      <c r="DE2" s="16112"/>
      <c r="DF2" s="16110"/>
      <c r="DG2" s="16111"/>
      <c r="DH2" s="16111"/>
      <c r="DI2" s="16111"/>
      <c r="DJ2" s="16111"/>
      <c r="DK2" s="16111"/>
      <c r="DL2" s="16111"/>
      <c r="DM2" s="16111"/>
      <c r="DN2" s="16111"/>
      <c r="DO2" s="16111"/>
      <c r="DP2" s="16112"/>
      <c r="DQ2" s="16110"/>
      <c r="DR2" s="16111"/>
      <c r="DS2" s="16111"/>
      <c r="DT2" s="16111"/>
      <c r="DU2" s="16111"/>
      <c r="DV2" s="16111"/>
      <c r="DW2" s="16111"/>
      <c r="DX2" s="16111"/>
      <c r="DY2" s="16111"/>
      <c r="DZ2" s="16111"/>
      <c r="EA2" s="16112"/>
      <c r="EB2" s="16110"/>
      <c r="EC2" s="16111"/>
      <c r="ED2" s="16111"/>
      <c r="EE2" s="16111"/>
      <c r="EF2" s="16111"/>
      <c r="EG2" s="16111"/>
      <c r="EH2" s="16111"/>
      <c r="EI2" s="16111"/>
      <c r="EJ2" s="16111"/>
      <c r="EK2" s="16111"/>
      <c r="EL2" s="16112"/>
      <c r="EM2" s="16110"/>
      <c r="EN2" s="16111"/>
      <c r="EO2" s="16111"/>
      <c r="EP2" s="16111"/>
      <c r="EQ2" s="16111"/>
      <c r="ER2" s="16111"/>
      <c r="ES2" s="16111"/>
      <c r="ET2" s="16111"/>
      <c r="EU2" s="16111"/>
      <c r="EV2" s="16111"/>
      <c r="EW2" s="16112"/>
      <c r="EX2" s="16112"/>
      <c r="EY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FA2" s="407"/>
      <c r="FB2" s="407" t="str">
        <f t="shared" ref="FB2:FB13" si="0">IF(T2="","",T2)</f>
        <v>Наименование тарифа</v>
      </c>
      <c r="FC2" s="407"/>
      <c r="FD2" s="407"/>
    </row>
    <row r="3" spans="1:160" ht="23.25" hidden="1" customHeight="1">
      <c r="A3" s="1240"/>
      <c r="B3" s="1240"/>
      <c r="C3" s="1240"/>
      <c r="D3" s="1240"/>
      <c r="E3" s="16125"/>
      <c r="F3" s="16124">
        <v>1</v>
      </c>
      <c r="G3" s="1240"/>
      <c r="H3" s="1240"/>
      <c r="I3" s="1240"/>
      <c r="J3" s="1240"/>
      <c r="K3" s="1240"/>
      <c r="L3" s="1241"/>
      <c r="M3" s="1242"/>
      <c r="N3" s="1242"/>
      <c r="O3" s="1242"/>
      <c r="P3" s="1358"/>
      <c r="Q3" s="268"/>
      <c r="R3" s="269"/>
      <c r="S3" s="1364" t="e">
        <f>INDEX(PT_DIFFERENTIATION_NUM_TER,MATCH(B3,PT_DIFFERENTIATION_TER_ID,0))</f>
        <v>#N/A</v>
      </c>
      <c r="T3" s="225" t="s">
        <v>534</v>
      </c>
      <c r="U3" s="217"/>
      <c r="V3" s="16110"/>
      <c r="W3" s="16111"/>
      <c r="X3" s="16111"/>
      <c r="Y3" s="16111"/>
      <c r="Z3" s="16111"/>
      <c r="AA3" s="16111"/>
      <c r="AB3" s="16111"/>
      <c r="AC3" s="16111"/>
      <c r="AD3" s="16111"/>
      <c r="AE3" s="16111"/>
      <c r="AF3" s="16112"/>
      <c r="AG3" s="16110" t="e">
        <f>INDEX(PT_DIFFERENTIATION_TER,MATCH(B3,PT_DIFFERENTIATION_TER_ID,0))</f>
        <v>#N/A</v>
      </c>
      <c r="AH3" s="16111"/>
      <c r="AI3" s="16111"/>
      <c r="AJ3" s="16111"/>
      <c r="AK3" s="16111"/>
      <c r="AL3" s="16111"/>
      <c r="AM3" s="16111"/>
      <c r="AN3" s="16111"/>
      <c r="AO3" s="16111"/>
      <c r="AP3" s="16111"/>
      <c r="AQ3" s="16111"/>
      <c r="AR3" s="16110"/>
      <c r="AS3" s="16111"/>
      <c r="AT3" s="16111"/>
      <c r="AU3" s="16111"/>
      <c r="AV3" s="16111"/>
      <c r="AW3" s="16111"/>
      <c r="AX3" s="16111"/>
      <c r="AY3" s="16111"/>
      <c r="AZ3" s="16111"/>
      <c r="BA3" s="16111"/>
      <c r="BB3" s="16112"/>
      <c r="BC3" s="16110"/>
      <c r="BD3" s="16111"/>
      <c r="BE3" s="16111"/>
      <c r="BF3" s="16111"/>
      <c r="BG3" s="16111"/>
      <c r="BH3" s="16111"/>
      <c r="BI3" s="16111"/>
      <c r="BJ3" s="16111"/>
      <c r="BK3" s="16111"/>
      <c r="BL3" s="16111"/>
      <c r="BM3" s="16112"/>
      <c r="BN3" s="16110"/>
      <c r="BO3" s="16111"/>
      <c r="BP3" s="16111"/>
      <c r="BQ3" s="16111"/>
      <c r="BR3" s="16111"/>
      <c r="BS3" s="16111"/>
      <c r="BT3" s="16111"/>
      <c r="BU3" s="16111"/>
      <c r="BV3" s="16111"/>
      <c r="BW3" s="16111"/>
      <c r="BX3" s="16112"/>
      <c r="BY3" s="16110"/>
      <c r="BZ3" s="16111"/>
      <c r="CA3" s="16111"/>
      <c r="CB3" s="16111"/>
      <c r="CC3" s="16111"/>
      <c r="CD3" s="16111"/>
      <c r="CE3" s="16111"/>
      <c r="CF3" s="16111"/>
      <c r="CG3" s="16111"/>
      <c r="CH3" s="16111"/>
      <c r="CI3" s="16112"/>
      <c r="CJ3" s="16110"/>
      <c r="CK3" s="16111"/>
      <c r="CL3" s="16111"/>
      <c r="CM3" s="16111"/>
      <c r="CN3" s="16111"/>
      <c r="CO3" s="16111"/>
      <c r="CP3" s="16111"/>
      <c r="CQ3" s="16111"/>
      <c r="CR3" s="16111"/>
      <c r="CS3" s="16111"/>
      <c r="CT3" s="16112"/>
      <c r="CU3" s="16110"/>
      <c r="CV3" s="16111"/>
      <c r="CW3" s="16111"/>
      <c r="CX3" s="16111"/>
      <c r="CY3" s="16111"/>
      <c r="CZ3" s="16111"/>
      <c r="DA3" s="16111"/>
      <c r="DB3" s="16111"/>
      <c r="DC3" s="16111"/>
      <c r="DD3" s="16111"/>
      <c r="DE3" s="16112"/>
      <c r="DF3" s="16110"/>
      <c r="DG3" s="16111"/>
      <c r="DH3" s="16111"/>
      <c r="DI3" s="16111"/>
      <c r="DJ3" s="16111"/>
      <c r="DK3" s="16111"/>
      <c r="DL3" s="16111"/>
      <c r="DM3" s="16111"/>
      <c r="DN3" s="16111"/>
      <c r="DO3" s="16111"/>
      <c r="DP3" s="16112"/>
      <c r="DQ3" s="16110"/>
      <c r="DR3" s="16111"/>
      <c r="DS3" s="16111"/>
      <c r="DT3" s="16111"/>
      <c r="DU3" s="16111"/>
      <c r="DV3" s="16111"/>
      <c r="DW3" s="16111"/>
      <c r="DX3" s="16111"/>
      <c r="DY3" s="16111"/>
      <c r="DZ3" s="16111"/>
      <c r="EA3" s="16112"/>
      <c r="EB3" s="16110"/>
      <c r="EC3" s="16111"/>
      <c r="ED3" s="16111"/>
      <c r="EE3" s="16111"/>
      <c r="EF3" s="16111"/>
      <c r="EG3" s="16111"/>
      <c r="EH3" s="16111"/>
      <c r="EI3" s="16111"/>
      <c r="EJ3" s="16111"/>
      <c r="EK3" s="16111"/>
      <c r="EL3" s="16112"/>
      <c r="EM3" s="16110"/>
      <c r="EN3" s="16111"/>
      <c r="EO3" s="16111"/>
      <c r="EP3" s="16111"/>
      <c r="EQ3" s="16111"/>
      <c r="ER3" s="16111"/>
      <c r="ES3" s="16111"/>
      <c r="ET3" s="16111"/>
      <c r="EU3" s="16111"/>
      <c r="EV3" s="16111"/>
      <c r="EW3" s="16112"/>
      <c r="EX3" s="16112"/>
      <c r="EY3" s="1140" t="s">
        <v>535</v>
      </c>
      <c r="FA3" s="407"/>
      <c r="FB3" s="407" t="str">
        <f t="shared" si="0"/>
        <v>Территория действия тарифа</v>
      </c>
      <c r="FC3" s="407"/>
      <c r="FD3" s="407"/>
    </row>
    <row r="4" spans="1:160" ht="23.25" hidden="1" customHeight="1">
      <c r="A4" s="1240"/>
      <c r="B4" s="1240"/>
      <c r="C4" s="1240"/>
      <c r="D4" s="1240"/>
      <c r="E4" s="16125"/>
      <c r="F4" s="16125"/>
      <c r="G4" s="16124">
        <v>1</v>
      </c>
      <c r="H4" s="1240"/>
      <c r="I4" s="1240"/>
      <c r="J4" s="1240"/>
      <c r="K4" s="1240"/>
      <c r="L4" s="1241"/>
      <c r="M4" s="1242"/>
      <c r="N4" s="1242"/>
      <c r="O4" s="1242"/>
      <c r="P4" s="270"/>
      <c r="Q4" s="268"/>
      <c r="R4" s="269"/>
      <c r="S4" s="1364" t="e">
        <f>INDEX(PT_DIFFERENTIATION_NUM_CS,MATCH(C4,PT_DIFFERENTIATION_CS_ID,0))</f>
        <v>#N/A</v>
      </c>
      <c r="T4" s="226" t="s">
        <v>665</v>
      </c>
      <c r="U4" s="217"/>
      <c r="V4" s="16110"/>
      <c r="W4" s="16111"/>
      <c r="X4" s="16111"/>
      <c r="Y4" s="16111"/>
      <c r="Z4" s="16111"/>
      <c r="AA4" s="16111"/>
      <c r="AB4" s="16111"/>
      <c r="AC4" s="16111"/>
      <c r="AD4" s="16111"/>
      <c r="AE4" s="16111"/>
      <c r="AF4" s="16112"/>
      <c r="AG4" s="16110" t="e">
        <f>INDEX(PT_DIFFERENTIATION_CS,MATCH(C4,PT_DIFFERENTIATION_CS_ID,0))</f>
        <v>#N/A</v>
      </c>
      <c r="AH4" s="16111"/>
      <c r="AI4" s="16111"/>
      <c r="AJ4" s="16111"/>
      <c r="AK4" s="16111"/>
      <c r="AL4" s="16111"/>
      <c r="AM4" s="16111"/>
      <c r="AN4" s="16111"/>
      <c r="AO4" s="16111"/>
      <c r="AP4" s="16111"/>
      <c r="AQ4" s="16111"/>
      <c r="AR4" s="16110"/>
      <c r="AS4" s="16111"/>
      <c r="AT4" s="16111"/>
      <c r="AU4" s="16111"/>
      <c r="AV4" s="16111"/>
      <c r="AW4" s="16111"/>
      <c r="AX4" s="16111"/>
      <c r="AY4" s="16111"/>
      <c r="AZ4" s="16111"/>
      <c r="BA4" s="16111"/>
      <c r="BB4" s="16112"/>
      <c r="BC4" s="16110"/>
      <c r="BD4" s="16111"/>
      <c r="BE4" s="16111"/>
      <c r="BF4" s="16111"/>
      <c r="BG4" s="16111"/>
      <c r="BH4" s="16111"/>
      <c r="BI4" s="16111"/>
      <c r="BJ4" s="16111"/>
      <c r="BK4" s="16111"/>
      <c r="BL4" s="16111"/>
      <c r="BM4" s="16112"/>
      <c r="BN4" s="16110"/>
      <c r="BO4" s="16111"/>
      <c r="BP4" s="16111"/>
      <c r="BQ4" s="16111"/>
      <c r="BR4" s="16111"/>
      <c r="BS4" s="16111"/>
      <c r="BT4" s="16111"/>
      <c r="BU4" s="16111"/>
      <c r="BV4" s="16111"/>
      <c r="BW4" s="16111"/>
      <c r="BX4" s="16112"/>
      <c r="BY4" s="16110"/>
      <c r="BZ4" s="16111"/>
      <c r="CA4" s="16111"/>
      <c r="CB4" s="16111"/>
      <c r="CC4" s="16111"/>
      <c r="CD4" s="16111"/>
      <c r="CE4" s="16111"/>
      <c r="CF4" s="16111"/>
      <c r="CG4" s="16111"/>
      <c r="CH4" s="16111"/>
      <c r="CI4" s="16112"/>
      <c r="CJ4" s="16110"/>
      <c r="CK4" s="16111"/>
      <c r="CL4" s="16111"/>
      <c r="CM4" s="16111"/>
      <c r="CN4" s="16111"/>
      <c r="CO4" s="16111"/>
      <c r="CP4" s="16111"/>
      <c r="CQ4" s="16111"/>
      <c r="CR4" s="16111"/>
      <c r="CS4" s="16111"/>
      <c r="CT4" s="16112"/>
      <c r="CU4" s="16110"/>
      <c r="CV4" s="16111"/>
      <c r="CW4" s="16111"/>
      <c r="CX4" s="16111"/>
      <c r="CY4" s="16111"/>
      <c r="CZ4" s="16111"/>
      <c r="DA4" s="16111"/>
      <c r="DB4" s="16111"/>
      <c r="DC4" s="16111"/>
      <c r="DD4" s="16111"/>
      <c r="DE4" s="16112"/>
      <c r="DF4" s="16110"/>
      <c r="DG4" s="16111"/>
      <c r="DH4" s="16111"/>
      <c r="DI4" s="16111"/>
      <c r="DJ4" s="16111"/>
      <c r="DK4" s="16111"/>
      <c r="DL4" s="16111"/>
      <c r="DM4" s="16111"/>
      <c r="DN4" s="16111"/>
      <c r="DO4" s="16111"/>
      <c r="DP4" s="16112"/>
      <c r="DQ4" s="16110"/>
      <c r="DR4" s="16111"/>
      <c r="DS4" s="16111"/>
      <c r="DT4" s="16111"/>
      <c r="DU4" s="16111"/>
      <c r="DV4" s="16111"/>
      <c r="DW4" s="16111"/>
      <c r="DX4" s="16111"/>
      <c r="DY4" s="16111"/>
      <c r="DZ4" s="16111"/>
      <c r="EA4" s="16112"/>
      <c r="EB4" s="16110"/>
      <c r="EC4" s="16111"/>
      <c r="ED4" s="16111"/>
      <c r="EE4" s="16111"/>
      <c r="EF4" s="16111"/>
      <c r="EG4" s="16111"/>
      <c r="EH4" s="16111"/>
      <c r="EI4" s="16111"/>
      <c r="EJ4" s="16111"/>
      <c r="EK4" s="16111"/>
      <c r="EL4" s="16112"/>
      <c r="EM4" s="16110"/>
      <c r="EN4" s="16111"/>
      <c r="EO4" s="16111"/>
      <c r="EP4" s="16111"/>
      <c r="EQ4" s="16111"/>
      <c r="ER4" s="16111"/>
      <c r="ES4" s="16111"/>
      <c r="ET4" s="16111"/>
      <c r="EU4" s="16111"/>
      <c r="EV4" s="16111"/>
      <c r="EW4" s="16112"/>
      <c r="EX4" s="16112"/>
      <c r="EY4" s="1140" t="s">
        <v>666</v>
      </c>
      <c r="FA4" s="407"/>
      <c r="FB4" s="407" t="str">
        <f t="shared" si="0"/>
        <v>Наименование централизованной системы горячего водоснабжения</v>
      </c>
      <c r="FC4" s="407"/>
      <c r="FD4" s="407"/>
    </row>
    <row r="5" spans="1:160" ht="23.25" hidden="1" customHeight="1">
      <c r="A5" s="1240"/>
      <c r="B5" s="1240"/>
      <c r="C5" s="1240"/>
      <c r="D5" s="1240"/>
      <c r="E5" s="16125"/>
      <c r="F5" s="16125"/>
      <c r="G5" s="16125"/>
      <c r="H5" s="16125"/>
      <c r="I5" s="16122" t="e">
        <f>S4&amp;".1"</f>
        <v>#N/A</v>
      </c>
      <c r="J5" s="1240"/>
      <c r="K5" s="1240"/>
      <c r="L5" s="1241"/>
      <c r="P5" s="16123">
        <v>1</v>
      </c>
      <c r="Q5" s="1352"/>
      <c r="R5" s="272"/>
      <c r="S5" s="1364" t="e">
        <f>$I5</f>
        <v>#N/A</v>
      </c>
      <c r="T5" s="202" t="s">
        <v>618</v>
      </c>
      <c r="U5" s="217"/>
      <c r="V5" s="16183"/>
      <c r="W5" s="16184"/>
      <c r="X5" s="16184"/>
      <c r="Y5" s="16184"/>
      <c r="Z5" s="16184"/>
      <c r="AA5" s="16184"/>
      <c r="AB5" s="16184"/>
      <c r="AC5" s="16184"/>
      <c r="AD5" s="16184"/>
      <c r="AE5" s="16184"/>
      <c r="AF5" s="16185"/>
      <c r="AG5" s="16186"/>
      <c r="AH5" s="16187"/>
      <c r="AI5" s="16187"/>
      <c r="AJ5" s="16187"/>
      <c r="AK5" s="16187"/>
      <c r="AL5" s="16187"/>
      <c r="AM5" s="16187"/>
      <c r="AN5" s="16187"/>
      <c r="AO5" s="16187"/>
      <c r="AP5" s="16187"/>
      <c r="AQ5" s="16187"/>
      <c r="AR5" s="16183"/>
      <c r="AS5" s="16184"/>
      <c r="AT5" s="16184"/>
      <c r="AU5" s="16184"/>
      <c r="AV5" s="16184"/>
      <c r="AW5" s="16184"/>
      <c r="AX5" s="16184"/>
      <c r="AY5" s="16184"/>
      <c r="AZ5" s="16184"/>
      <c r="BA5" s="16184"/>
      <c r="BB5" s="16185"/>
      <c r="BC5" s="16183"/>
      <c r="BD5" s="16184"/>
      <c r="BE5" s="16184"/>
      <c r="BF5" s="16184"/>
      <c r="BG5" s="16184"/>
      <c r="BH5" s="16184"/>
      <c r="BI5" s="16184"/>
      <c r="BJ5" s="16184"/>
      <c r="BK5" s="16184"/>
      <c r="BL5" s="16184"/>
      <c r="BM5" s="16185"/>
      <c r="BN5" s="16183"/>
      <c r="BO5" s="16184"/>
      <c r="BP5" s="16184"/>
      <c r="BQ5" s="16184"/>
      <c r="BR5" s="16184"/>
      <c r="BS5" s="16184"/>
      <c r="BT5" s="16184"/>
      <c r="BU5" s="16184"/>
      <c r="BV5" s="16184"/>
      <c r="BW5" s="16184"/>
      <c r="BX5" s="16185"/>
      <c r="BY5" s="16183"/>
      <c r="BZ5" s="16184"/>
      <c r="CA5" s="16184"/>
      <c r="CB5" s="16184"/>
      <c r="CC5" s="16184"/>
      <c r="CD5" s="16184"/>
      <c r="CE5" s="16184"/>
      <c r="CF5" s="16184"/>
      <c r="CG5" s="16184"/>
      <c r="CH5" s="16184"/>
      <c r="CI5" s="16185"/>
      <c r="CJ5" s="16183"/>
      <c r="CK5" s="16184"/>
      <c r="CL5" s="16184"/>
      <c r="CM5" s="16184"/>
      <c r="CN5" s="16184"/>
      <c r="CO5" s="16184"/>
      <c r="CP5" s="16184"/>
      <c r="CQ5" s="16184"/>
      <c r="CR5" s="16184"/>
      <c r="CS5" s="16184"/>
      <c r="CT5" s="16185"/>
      <c r="CU5" s="16183"/>
      <c r="CV5" s="16184"/>
      <c r="CW5" s="16184"/>
      <c r="CX5" s="16184"/>
      <c r="CY5" s="16184"/>
      <c r="CZ5" s="16184"/>
      <c r="DA5" s="16184"/>
      <c r="DB5" s="16184"/>
      <c r="DC5" s="16184"/>
      <c r="DD5" s="16184"/>
      <c r="DE5" s="16185"/>
      <c r="DF5" s="16183"/>
      <c r="DG5" s="16184"/>
      <c r="DH5" s="16184"/>
      <c r="DI5" s="16184"/>
      <c r="DJ5" s="16184"/>
      <c r="DK5" s="16184"/>
      <c r="DL5" s="16184"/>
      <c r="DM5" s="16184"/>
      <c r="DN5" s="16184"/>
      <c r="DO5" s="16184"/>
      <c r="DP5" s="16185"/>
      <c r="DQ5" s="16183"/>
      <c r="DR5" s="16184"/>
      <c r="DS5" s="16184"/>
      <c r="DT5" s="16184"/>
      <c r="DU5" s="16184"/>
      <c r="DV5" s="16184"/>
      <c r="DW5" s="16184"/>
      <c r="DX5" s="16184"/>
      <c r="DY5" s="16184"/>
      <c r="DZ5" s="16184"/>
      <c r="EA5" s="16185"/>
      <c r="EB5" s="16183"/>
      <c r="EC5" s="16184"/>
      <c r="ED5" s="16184"/>
      <c r="EE5" s="16184"/>
      <c r="EF5" s="16184"/>
      <c r="EG5" s="16184"/>
      <c r="EH5" s="16184"/>
      <c r="EI5" s="16184"/>
      <c r="EJ5" s="16184"/>
      <c r="EK5" s="16184"/>
      <c r="EL5" s="16185"/>
      <c r="EM5" s="16183"/>
      <c r="EN5" s="16184"/>
      <c r="EO5" s="16184"/>
      <c r="EP5" s="16184"/>
      <c r="EQ5" s="16184"/>
      <c r="ER5" s="16184"/>
      <c r="ES5" s="16184"/>
      <c r="ET5" s="16184"/>
      <c r="EU5" s="16184"/>
      <c r="EV5" s="16184"/>
      <c r="EW5" s="16185"/>
      <c r="EX5" s="16188"/>
      <c r="EY5" s="1140" t="s">
        <v>619</v>
      </c>
      <c r="FA5" s="407"/>
      <c r="FB5" s="407" t="str">
        <f t="shared" si="0"/>
        <v>Наименование признака дифференциации</v>
      </c>
      <c r="FC5" s="407"/>
      <c r="FD5" s="407"/>
    </row>
    <row r="6" spans="1:160" ht="23.25" hidden="1" customHeight="1">
      <c r="A6" s="1240"/>
      <c r="B6" s="1240"/>
      <c r="C6" s="1240"/>
      <c r="D6" s="1240"/>
      <c r="E6" s="16125"/>
      <c r="F6" s="16125"/>
      <c r="G6" s="16125"/>
      <c r="H6" s="16125"/>
      <c r="I6" s="16145"/>
      <c r="J6" s="16122" t="e">
        <f>I5&amp;".1"</f>
        <v>#N/A</v>
      </c>
      <c r="K6" s="1240"/>
      <c r="L6" s="1241" t="s">
        <v>543</v>
      </c>
      <c r="P6" s="16123"/>
      <c r="Q6" s="16123">
        <v>1</v>
      </c>
      <c r="R6" s="273"/>
      <c r="S6" s="1364" t="e">
        <f>$J6</f>
        <v>#N/A</v>
      </c>
      <c r="T6" s="203" t="s">
        <v>544</v>
      </c>
      <c r="U6" s="217"/>
      <c r="V6" s="16113"/>
      <c r="W6" s="16114"/>
      <c r="X6" s="16114"/>
      <c r="Y6" s="16114"/>
      <c r="Z6" s="16114"/>
      <c r="AA6" s="16114"/>
      <c r="AB6" s="16114"/>
      <c r="AC6" s="16114"/>
      <c r="AD6" s="16114"/>
      <c r="AE6" s="16114"/>
      <c r="AF6" s="16115"/>
      <c r="AG6" s="16113"/>
      <c r="AH6" s="16114"/>
      <c r="AI6" s="16114"/>
      <c r="AJ6" s="16114"/>
      <c r="AK6" s="16114"/>
      <c r="AL6" s="16114"/>
      <c r="AM6" s="16114"/>
      <c r="AN6" s="16114"/>
      <c r="AO6" s="16114"/>
      <c r="AP6" s="16114"/>
      <c r="AQ6" s="16114"/>
      <c r="AR6" s="16113"/>
      <c r="AS6" s="16114"/>
      <c r="AT6" s="16114"/>
      <c r="AU6" s="16114"/>
      <c r="AV6" s="16114"/>
      <c r="AW6" s="16114"/>
      <c r="AX6" s="16114"/>
      <c r="AY6" s="16114"/>
      <c r="AZ6" s="16114"/>
      <c r="BA6" s="16114"/>
      <c r="BB6" s="16115"/>
      <c r="BC6" s="16113"/>
      <c r="BD6" s="16114"/>
      <c r="BE6" s="16114"/>
      <c r="BF6" s="16114"/>
      <c r="BG6" s="16114"/>
      <c r="BH6" s="16114"/>
      <c r="BI6" s="16114"/>
      <c r="BJ6" s="16114"/>
      <c r="BK6" s="16114"/>
      <c r="BL6" s="16114"/>
      <c r="BM6" s="16115"/>
      <c r="BN6" s="16113"/>
      <c r="BO6" s="16114"/>
      <c r="BP6" s="16114"/>
      <c r="BQ6" s="16114"/>
      <c r="BR6" s="16114"/>
      <c r="BS6" s="16114"/>
      <c r="BT6" s="16114"/>
      <c r="BU6" s="16114"/>
      <c r="BV6" s="16114"/>
      <c r="BW6" s="16114"/>
      <c r="BX6" s="16115"/>
      <c r="BY6" s="16113"/>
      <c r="BZ6" s="16114"/>
      <c r="CA6" s="16114"/>
      <c r="CB6" s="16114"/>
      <c r="CC6" s="16114"/>
      <c r="CD6" s="16114"/>
      <c r="CE6" s="16114"/>
      <c r="CF6" s="16114"/>
      <c r="CG6" s="16114"/>
      <c r="CH6" s="16114"/>
      <c r="CI6" s="16115"/>
      <c r="CJ6" s="16113"/>
      <c r="CK6" s="16114"/>
      <c r="CL6" s="16114"/>
      <c r="CM6" s="16114"/>
      <c r="CN6" s="16114"/>
      <c r="CO6" s="16114"/>
      <c r="CP6" s="16114"/>
      <c r="CQ6" s="16114"/>
      <c r="CR6" s="16114"/>
      <c r="CS6" s="16114"/>
      <c r="CT6" s="16115"/>
      <c r="CU6" s="16113"/>
      <c r="CV6" s="16114"/>
      <c r="CW6" s="16114"/>
      <c r="CX6" s="16114"/>
      <c r="CY6" s="16114"/>
      <c r="CZ6" s="16114"/>
      <c r="DA6" s="16114"/>
      <c r="DB6" s="16114"/>
      <c r="DC6" s="16114"/>
      <c r="DD6" s="16114"/>
      <c r="DE6" s="16115"/>
      <c r="DF6" s="16113"/>
      <c r="DG6" s="16114"/>
      <c r="DH6" s="16114"/>
      <c r="DI6" s="16114"/>
      <c r="DJ6" s="16114"/>
      <c r="DK6" s="16114"/>
      <c r="DL6" s="16114"/>
      <c r="DM6" s="16114"/>
      <c r="DN6" s="16114"/>
      <c r="DO6" s="16114"/>
      <c r="DP6" s="16115"/>
      <c r="DQ6" s="16113"/>
      <c r="DR6" s="16114"/>
      <c r="DS6" s="16114"/>
      <c r="DT6" s="16114"/>
      <c r="DU6" s="16114"/>
      <c r="DV6" s="16114"/>
      <c r="DW6" s="16114"/>
      <c r="DX6" s="16114"/>
      <c r="DY6" s="16114"/>
      <c r="DZ6" s="16114"/>
      <c r="EA6" s="16115"/>
      <c r="EB6" s="16113"/>
      <c r="EC6" s="16114"/>
      <c r="ED6" s="16114"/>
      <c r="EE6" s="16114"/>
      <c r="EF6" s="16114"/>
      <c r="EG6" s="16114"/>
      <c r="EH6" s="16114"/>
      <c r="EI6" s="16114"/>
      <c r="EJ6" s="16114"/>
      <c r="EK6" s="16114"/>
      <c r="EL6" s="16115"/>
      <c r="EM6" s="16113"/>
      <c r="EN6" s="16114"/>
      <c r="EO6" s="16114"/>
      <c r="EP6" s="16114"/>
      <c r="EQ6" s="16114"/>
      <c r="ER6" s="16114"/>
      <c r="ES6" s="16114"/>
      <c r="ET6" s="16114"/>
      <c r="EU6" s="16114"/>
      <c r="EV6" s="16114"/>
      <c r="EW6" s="16115"/>
      <c r="EX6" s="16115"/>
      <c r="EY6" s="1187" t="s">
        <v>620</v>
      </c>
      <c r="FA6" s="407"/>
      <c r="FB6" s="407" t="str">
        <f t="shared" si="0"/>
        <v>Группа потребителей</v>
      </c>
      <c r="FC6" s="407"/>
      <c r="FD6" s="407"/>
    </row>
    <row r="7" spans="1:160" ht="23.25" hidden="1" customHeight="1">
      <c r="A7" s="1240"/>
      <c r="B7" s="1240"/>
      <c r="C7" s="1240"/>
      <c r="D7" s="1240"/>
      <c r="E7" s="16125"/>
      <c r="F7" s="16125"/>
      <c r="G7" s="16125"/>
      <c r="H7" s="16125"/>
      <c r="I7" s="16145"/>
      <c r="J7" s="16145"/>
      <c r="K7" s="16122" t="e">
        <f>J6&amp;".1"</f>
        <v>#N/A</v>
      </c>
      <c r="L7" s="1241"/>
      <c r="P7" s="16123"/>
      <c r="Q7" s="16123"/>
      <c r="R7" s="273">
        <v>1</v>
      </c>
      <c r="S7" s="1364" t="e">
        <f>$K7</f>
        <v>#N/A</v>
      </c>
      <c r="T7" s="1313"/>
      <c r="U7" s="217"/>
      <c r="V7" s="649"/>
      <c r="W7" s="649"/>
      <c r="X7" s="649"/>
      <c r="Y7" s="649"/>
      <c r="Z7" s="649"/>
      <c r="AA7" s="649"/>
      <c r="AB7" s="649"/>
      <c r="AC7" s="16127"/>
      <c r="AD7" s="15973" t="s">
        <v>66</v>
      </c>
      <c r="AE7" s="16127"/>
      <c r="AF7" s="15973" t="s">
        <v>66</v>
      </c>
      <c r="AG7" s="649"/>
      <c r="AH7" s="649"/>
      <c r="AI7" s="649"/>
      <c r="AJ7" s="649"/>
      <c r="AK7" s="649"/>
      <c r="AL7" s="649"/>
      <c r="AM7" s="649"/>
      <c r="AN7" s="16127"/>
      <c r="AO7" s="15973" t="s">
        <v>66</v>
      </c>
      <c r="AP7" s="16146"/>
      <c r="AQ7" s="15973" t="s">
        <v>66</v>
      </c>
      <c r="AR7" s="1893"/>
      <c r="AS7" s="1893"/>
      <c r="AT7" s="1893"/>
      <c r="AU7" s="1893"/>
      <c r="AV7" s="1893"/>
      <c r="AW7" s="1893"/>
      <c r="AX7" s="1893"/>
      <c r="AY7" s="16127"/>
      <c r="AZ7" s="15973" t="s">
        <v>66</v>
      </c>
      <c r="BA7" s="16127"/>
      <c r="BB7" s="15973" t="s">
        <v>66</v>
      </c>
      <c r="BC7" s="1893"/>
      <c r="BD7" s="1893"/>
      <c r="BE7" s="1893"/>
      <c r="BF7" s="1893"/>
      <c r="BG7" s="1893"/>
      <c r="BH7" s="1893"/>
      <c r="BI7" s="1893"/>
      <c r="BJ7" s="16127"/>
      <c r="BK7" s="15973" t="s">
        <v>66</v>
      </c>
      <c r="BL7" s="16127"/>
      <c r="BM7" s="15973" t="s">
        <v>66</v>
      </c>
      <c r="BN7" s="1893"/>
      <c r="BO7" s="1893"/>
      <c r="BP7" s="1893"/>
      <c r="BQ7" s="1893"/>
      <c r="BR7" s="1893"/>
      <c r="BS7" s="1893"/>
      <c r="BT7" s="1893"/>
      <c r="BU7" s="16127"/>
      <c r="BV7" s="15973" t="s">
        <v>66</v>
      </c>
      <c r="BW7" s="16127"/>
      <c r="BX7" s="15973" t="s">
        <v>66</v>
      </c>
      <c r="BY7" s="1893"/>
      <c r="BZ7" s="1893"/>
      <c r="CA7" s="1893"/>
      <c r="CB7" s="1893"/>
      <c r="CC7" s="1893"/>
      <c r="CD7" s="1893"/>
      <c r="CE7" s="1893"/>
      <c r="CF7" s="16127"/>
      <c r="CG7" s="15973" t="s">
        <v>66</v>
      </c>
      <c r="CH7" s="16127"/>
      <c r="CI7" s="15973" t="s">
        <v>66</v>
      </c>
      <c r="CJ7" s="1893"/>
      <c r="CK7" s="1893"/>
      <c r="CL7" s="1893"/>
      <c r="CM7" s="1893"/>
      <c r="CN7" s="1893"/>
      <c r="CO7" s="1893"/>
      <c r="CP7" s="1893"/>
      <c r="CQ7" s="16127"/>
      <c r="CR7" s="15973" t="s">
        <v>66</v>
      </c>
      <c r="CS7" s="16127"/>
      <c r="CT7" s="15973" t="s">
        <v>66</v>
      </c>
      <c r="CU7" s="1893"/>
      <c r="CV7" s="1893"/>
      <c r="CW7" s="1893"/>
      <c r="CX7" s="1893"/>
      <c r="CY7" s="1893"/>
      <c r="CZ7" s="1893"/>
      <c r="DA7" s="1893"/>
      <c r="DB7" s="16127"/>
      <c r="DC7" s="15973" t="s">
        <v>66</v>
      </c>
      <c r="DD7" s="16127"/>
      <c r="DE7" s="15973" t="s">
        <v>66</v>
      </c>
      <c r="DF7" s="1893"/>
      <c r="DG7" s="1893"/>
      <c r="DH7" s="1893"/>
      <c r="DI7" s="1893"/>
      <c r="DJ7" s="1893"/>
      <c r="DK7" s="1893"/>
      <c r="DL7" s="1893"/>
      <c r="DM7" s="16127"/>
      <c r="DN7" s="15973" t="s">
        <v>66</v>
      </c>
      <c r="DO7" s="16127"/>
      <c r="DP7" s="15973" t="s">
        <v>66</v>
      </c>
      <c r="DQ7" s="1893"/>
      <c r="DR7" s="1893"/>
      <c r="DS7" s="1893"/>
      <c r="DT7" s="1893"/>
      <c r="DU7" s="1893"/>
      <c r="DV7" s="1893"/>
      <c r="DW7" s="1893"/>
      <c r="DX7" s="16127"/>
      <c r="DY7" s="15973" t="s">
        <v>66</v>
      </c>
      <c r="DZ7" s="16127"/>
      <c r="EA7" s="15973" t="s">
        <v>66</v>
      </c>
      <c r="EB7" s="1893"/>
      <c r="EC7" s="1893"/>
      <c r="ED7" s="1893"/>
      <c r="EE7" s="1893"/>
      <c r="EF7" s="1893"/>
      <c r="EG7" s="1893"/>
      <c r="EH7" s="1893"/>
      <c r="EI7" s="16127"/>
      <c r="EJ7" s="15973" t="s">
        <v>66</v>
      </c>
      <c r="EK7" s="16127"/>
      <c r="EL7" s="15973" t="s">
        <v>66</v>
      </c>
      <c r="EM7" s="14448"/>
      <c r="EN7" s="14448"/>
      <c r="EO7" s="14448"/>
      <c r="EP7" s="14448"/>
      <c r="EQ7" s="14448"/>
      <c r="ER7" s="14448"/>
      <c r="ES7" s="14448"/>
      <c r="ET7" s="16127"/>
      <c r="EU7" s="15973" t="s">
        <v>66</v>
      </c>
      <c r="EV7" s="16127"/>
      <c r="EW7" s="15973" t="s">
        <v>66</v>
      </c>
      <c r="EX7" s="1314"/>
      <c r="EY7"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7" s="418" t="e">
        <f ca="1">STRCHECKDATE(V8:EX8)</f>
        <v>#NAME?</v>
      </c>
      <c r="FA7" s="407"/>
      <c r="FB7" s="407" t="str">
        <f t="shared" si="0"/>
        <v/>
      </c>
      <c r="FC7" s="407"/>
      <c r="FD7" s="407"/>
    </row>
    <row r="8" spans="1:160" ht="14.25" hidden="1" customHeight="1">
      <c r="A8" s="1240"/>
      <c r="B8" s="1240"/>
      <c r="C8" s="1240"/>
      <c r="D8" s="1240"/>
      <c r="E8" s="16125"/>
      <c r="F8" s="16125"/>
      <c r="G8" s="16125"/>
      <c r="H8" s="16125"/>
      <c r="I8" s="16145"/>
      <c r="J8" s="16145"/>
      <c r="K8" s="16122"/>
      <c r="L8" s="1241"/>
      <c r="P8" s="16123"/>
      <c r="Q8" s="16123"/>
      <c r="R8" s="273"/>
      <c r="S8" s="1361"/>
      <c r="T8" s="217"/>
      <c r="U8" s="217"/>
      <c r="V8" s="242"/>
      <c r="W8" s="242"/>
      <c r="X8" s="242"/>
      <c r="Y8" s="242"/>
      <c r="Z8" s="242"/>
      <c r="AA8" s="242"/>
      <c r="AB8" s="242"/>
      <c r="AC8" s="16128"/>
      <c r="AD8" s="15973"/>
      <c r="AE8" s="16128"/>
      <c r="AF8" s="15973"/>
      <c r="AG8" s="242"/>
      <c r="AH8" s="242"/>
      <c r="AI8" s="242"/>
      <c r="AJ8" s="242"/>
      <c r="AK8" s="242"/>
      <c r="AL8" s="242"/>
      <c r="AM8" s="242"/>
      <c r="AN8" s="16128"/>
      <c r="AO8" s="15973"/>
      <c r="AP8" s="16147"/>
      <c r="AQ8" s="15973"/>
      <c r="AR8" s="1894"/>
      <c r="AS8" s="1894"/>
      <c r="AT8" s="1894"/>
      <c r="AU8" s="1894"/>
      <c r="AV8" s="1894"/>
      <c r="AW8" s="1894"/>
      <c r="AX8" s="1894"/>
      <c r="AY8" s="16128"/>
      <c r="AZ8" s="15973"/>
      <c r="BA8" s="16128"/>
      <c r="BB8" s="15973"/>
      <c r="BC8" s="1894"/>
      <c r="BD8" s="1894"/>
      <c r="BE8" s="1894"/>
      <c r="BF8" s="1894"/>
      <c r="BG8" s="1894"/>
      <c r="BH8" s="1894"/>
      <c r="BI8" s="1894"/>
      <c r="BJ8" s="16128"/>
      <c r="BK8" s="15973"/>
      <c r="BL8" s="16128"/>
      <c r="BM8" s="15973"/>
      <c r="BN8" s="1894"/>
      <c r="BO8" s="1894"/>
      <c r="BP8" s="1894"/>
      <c r="BQ8" s="1894"/>
      <c r="BR8" s="1894"/>
      <c r="BS8" s="1894"/>
      <c r="BT8" s="1894"/>
      <c r="BU8" s="16128"/>
      <c r="BV8" s="15973"/>
      <c r="BW8" s="16128"/>
      <c r="BX8" s="15973"/>
      <c r="BY8" s="1894"/>
      <c r="BZ8" s="1894"/>
      <c r="CA8" s="1894"/>
      <c r="CB8" s="1894"/>
      <c r="CC8" s="1894"/>
      <c r="CD8" s="1894"/>
      <c r="CE8" s="1894"/>
      <c r="CF8" s="16128"/>
      <c r="CG8" s="15973"/>
      <c r="CH8" s="16128"/>
      <c r="CI8" s="15973"/>
      <c r="CJ8" s="1894"/>
      <c r="CK8" s="1894"/>
      <c r="CL8" s="1894"/>
      <c r="CM8" s="1894"/>
      <c r="CN8" s="1894"/>
      <c r="CO8" s="1894"/>
      <c r="CP8" s="1894"/>
      <c r="CQ8" s="16128"/>
      <c r="CR8" s="15973"/>
      <c r="CS8" s="16128"/>
      <c r="CT8" s="15973"/>
      <c r="CU8" s="1894"/>
      <c r="CV8" s="1894"/>
      <c r="CW8" s="1894"/>
      <c r="CX8" s="1894"/>
      <c r="CY8" s="1894"/>
      <c r="CZ8" s="1894"/>
      <c r="DA8" s="1894"/>
      <c r="DB8" s="16128"/>
      <c r="DC8" s="15973"/>
      <c r="DD8" s="16128"/>
      <c r="DE8" s="15973"/>
      <c r="DF8" s="1894"/>
      <c r="DG8" s="1894"/>
      <c r="DH8" s="1894"/>
      <c r="DI8" s="1894"/>
      <c r="DJ8" s="1894"/>
      <c r="DK8" s="1894"/>
      <c r="DL8" s="1894"/>
      <c r="DM8" s="16128"/>
      <c r="DN8" s="15973"/>
      <c r="DO8" s="16128"/>
      <c r="DP8" s="15973"/>
      <c r="DQ8" s="1894"/>
      <c r="DR8" s="1894"/>
      <c r="DS8" s="1894"/>
      <c r="DT8" s="1894"/>
      <c r="DU8" s="1894"/>
      <c r="DV8" s="1894"/>
      <c r="DW8" s="1894"/>
      <c r="DX8" s="16128"/>
      <c r="DY8" s="15973"/>
      <c r="DZ8" s="16128"/>
      <c r="EA8" s="15973"/>
      <c r="EB8" s="1894"/>
      <c r="EC8" s="1894"/>
      <c r="ED8" s="1894"/>
      <c r="EE8" s="1894"/>
      <c r="EF8" s="1894"/>
      <c r="EG8" s="1894"/>
      <c r="EH8" s="1894"/>
      <c r="EI8" s="16128"/>
      <c r="EJ8" s="15973"/>
      <c r="EK8" s="16128"/>
      <c r="EL8" s="15973"/>
      <c r="EM8" s="14449"/>
      <c r="EN8" s="14449"/>
      <c r="EO8" s="14449"/>
      <c r="EP8" s="14449"/>
      <c r="EQ8" s="14449"/>
      <c r="ER8" s="14449"/>
      <c r="ES8" s="14449"/>
      <c r="ET8" s="16128"/>
      <c r="EU8" s="15973"/>
      <c r="EV8" s="16128"/>
      <c r="EW8" s="15973"/>
      <c r="EX8" s="1315"/>
      <c r="EY8" s="16182"/>
      <c r="FA8" s="407"/>
      <c r="FB8" s="407" t="str">
        <f t="shared" si="0"/>
        <v/>
      </c>
      <c r="FC8" s="407"/>
      <c r="FD8" s="407"/>
    </row>
    <row r="9" spans="1:160" ht="21" hidden="1" customHeight="1">
      <c r="A9" s="1240"/>
      <c r="B9" s="1240"/>
      <c r="C9" s="1240"/>
      <c r="D9" s="1240"/>
      <c r="E9" s="16125"/>
      <c r="F9" s="16125"/>
      <c r="G9" s="16125"/>
      <c r="H9" s="16125"/>
      <c r="I9" s="16145"/>
      <c r="J9" s="16122"/>
      <c r="K9" s="1240"/>
      <c r="L9" s="1241"/>
      <c r="P9" s="16123"/>
      <c r="Q9" s="16123"/>
      <c r="R9" s="272"/>
      <c r="S9" s="1160"/>
      <c r="T9" s="204" t="s">
        <v>621</v>
      </c>
      <c r="U9" s="282"/>
      <c r="V9" s="282"/>
      <c r="W9" s="503"/>
      <c r="X9" s="503"/>
      <c r="Y9" s="503"/>
      <c r="Z9" s="503"/>
      <c r="AA9" s="503"/>
      <c r="AB9" s="503"/>
      <c r="AC9" s="282"/>
      <c r="AD9" s="282"/>
      <c r="AE9" s="282"/>
      <c r="AF9" s="282"/>
      <c r="AG9" s="282"/>
      <c r="AH9" s="503"/>
      <c r="AI9" s="503"/>
      <c r="AJ9" s="503"/>
      <c r="AK9" s="503"/>
      <c r="AL9" s="503"/>
      <c r="AM9" s="282"/>
      <c r="AN9" s="282"/>
      <c r="AO9" s="282"/>
      <c r="AP9" s="282"/>
      <c r="AQ9" s="282"/>
      <c r="AR9" s="1895"/>
      <c r="AS9" s="1896"/>
      <c r="AT9" s="1897"/>
      <c r="AU9" s="1898"/>
      <c r="AV9" s="1899"/>
      <c r="AW9" s="1900"/>
      <c r="AX9" s="1901"/>
      <c r="AY9" s="1902"/>
      <c r="AZ9" s="1903"/>
      <c r="BA9" s="1904"/>
      <c r="BB9" s="1905"/>
      <c r="BC9" s="1906"/>
      <c r="BD9" s="1907"/>
      <c r="BE9" s="1908"/>
      <c r="BF9" s="1909"/>
      <c r="BG9" s="1910"/>
      <c r="BH9" s="1911"/>
      <c r="BI9" s="1912"/>
      <c r="BJ9" s="1913"/>
      <c r="BK9" s="1914"/>
      <c r="BL9" s="1915"/>
      <c r="BM9" s="1916"/>
      <c r="BN9" s="1917"/>
      <c r="BO9" s="1918"/>
      <c r="BP9" s="1919"/>
      <c r="BQ9" s="1920"/>
      <c r="BR9" s="1921"/>
      <c r="BS9" s="1922"/>
      <c r="BT9" s="1923"/>
      <c r="BU9" s="1924"/>
      <c r="BV9" s="1925"/>
      <c r="BW9" s="1926"/>
      <c r="BX9" s="1927"/>
      <c r="BY9" s="1928"/>
      <c r="BZ9" s="1929"/>
      <c r="CA9" s="1930"/>
      <c r="CB9" s="1931"/>
      <c r="CC9" s="1932"/>
      <c r="CD9" s="1933"/>
      <c r="CE9" s="1934"/>
      <c r="CF9" s="1935"/>
      <c r="CG9" s="1936"/>
      <c r="CH9" s="1937"/>
      <c r="CI9" s="1938"/>
      <c r="CJ9" s="1939"/>
      <c r="CK9" s="1940"/>
      <c r="CL9" s="1941"/>
      <c r="CM9" s="1942"/>
      <c r="CN9" s="1943"/>
      <c r="CO9" s="1944"/>
      <c r="CP9" s="1945"/>
      <c r="CQ9" s="1946"/>
      <c r="CR9" s="1947"/>
      <c r="CS9" s="1948"/>
      <c r="CT9" s="1949"/>
      <c r="CU9" s="1950"/>
      <c r="CV9" s="1951"/>
      <c r="CW9" s="1952"/>
      <c r="CX9" s="1953"/>
      <c r="CY9" s="1954"/>
      <c r="CZ9" s="1955"/>
      <c r="DA9" s="1956"/>
      <c r="DB9" s="1957"/>
      <c r="DC9" s="1958"/>
      <c r="DD9" s="1959"/>
      <c r="DE9" s="1960"/>
      <c r="DF9" s="1961"/>
      <c r="DG9" s="1962"/>
      <c r="DH9" s="1963"/>
      <c r="DI9" s="1964"/>
      <c r="DJ9" s="1965"/>
      <c r="DK9" s="1966"/>
      <c r="DL9" s="1967"/>
      <c r="DM9" s="1968"/>
      <c r="DN9" s="1969"/>
      <c r="DO9" s="1970"/>
      <c r="DP9" s="1971"/>
      <c r="DQ9" s="1972"/>
      <c r="DR9" s="1973"/>
      <c r="DS9" s="1974"/>
      <c r="DT9" s="1975"/>
      <c r="DU9" s="1976"/>
      <c r="DV9" s="1977"/>
      <c r="DW9" s="1978"/>
      <c r="DX9" s="1979"/>
      <c r="DY9" s="1980"/>
      <c r="DZ9" s="1981"/>
      <c r="EA9" s="1982"/>
      <c r="EB9" s="1983"/>
      <c r="EC9" s="1984"/>
      <c r="ED9" s="1985"/>
      <c r="EE9" s="1986"/>
      <c r="EF9" s="1987"/>
      <c r="EG9" s="1988"/>
      <c r="EH9" s="1989"/>
      <c r="EI9" s="1990"/>
      <c r="EJ9" s="1991"/>
      <c r="EK9" s="1992"/>
      <c r="EL9" s="1993"/>
      <c r="EM9" s="14450"/>
      <c r="EN9" s="14451"/>
      <c r="EO9" s="14452"/>
      <c r="EP9" s="14453"/>
      <c r="EQ9" s="14454"/>
      <c r="ER9" s="14455"/>
      <c r="ES9" s="14456"/>
      <c r="ET9" s="14457"/>
      <c r="EU9" s="14458"/>
      <c r="EV9" s="14459"/>
      <c r="EW9" s="14460"/>
      <c r="EX9" s="282"/>
      <c r="EY9" s="1140" t="s">
        <v>622</v>
      </c>
      <c r="FA9" s="407"/>
      <c r="FB9" s="407" t="str">
        <f t="shared" si="0"/>
        <v>Добавить значение признака дифференциации</v>
      </c>
      <c r="FC9" s="407"/>
      <c r="FD9" s="407"/>
    </row>
    <row r="10" spans="1:160" ht="21" hidden="1" customHeight="1">
      <c r="A10" s="1240"/>
      <c r="B10" s="1240"/>
      <c r="C10" s="1240"/>
      <c r="D10" s="1240"/>
      <c r="E10" s="16125"/>
      <c r="F10" s="16125"/>
      <c r="G10" s="16125"/>
      <c r="H10" s="16125"/>
      <c r="I10" s="16122"/>
      <c r="J10" s="1240"/>
      <c r="K10" s="1240"/>
      <c r="L10" s="1241"/>
      <c r="P10" s="16123"/>
      <c r="Q10" s="1352"/>
      <c r="R10" s="272"/>
      <c r="S10" s="1160"/>
      <c r="T10" s="280" t="s">
        <v>549</v>
      </c>
      <c r="U10" s="282"/>
      <c r="V10" s="282"/>
      <c r="W10" s="503"/>
      <c r="X10" s="503"/>
      <c r="Y10" s="503"/>
      <c r="Z10" s="503"/>
      <c r="AA10" s="503"/>
      <c r="AB10" s="503"/>
      <c r="AC10" s="282"/>
      <c r="AD10" s="282"/>
      <c r="AE10" s="282"/>
      <c r="AF10" s="281"/>
      <c r="AG10" s="282"/>
      <c r="AH10" s="503"/>
      <c r="AI10" s="503"/>
      <c r="AJ10" s="503"/>
      <c r="AK10" s="503"/>
      <c r="AL10" s="503"/>
      <c r="AM10" s="282"/>
      <c r="AN10" s="282"/>
      <c r="AO10" s="282"/>
      <c r="AP10" s="282"/>
      <c r="AQ10" s="281"/>
      <c r="AR10" s="1994"/>
      <c r="AS10" s="1995"/>
      <c r="AT10" s="1996"/>
      <c r="AU10" s="1997"/>
      <c r="AV10" s="1998"/>
      <c r="AW10" s="1999"/>
      <c r="AX10" s="2000"/>
      <c r="AY10" s="2001"/>
      <c r="AZ10" s="2002"/>
      <c r="BA10" s="2003"/>
      <c r="BB10" s="2004"/>
      <c r="BC10" s="2005"/>
      <c r="BD10" s="2006"/>
      <c r="BE10" s="2007"/>
      <c r="BF10" s="2008"/>
      <c r="BG10" s="2009"/>
      <c r="BH10" s="2010"/>
      <c r="BI10" s="2011"/>
      <c r="BJ10" s="2012"/>
      <c r="BK10" s="2013"/>
      <c r="BL10" s="2014"/>
      <c r="BM10" s="2015"/>
      <c r="BN10" s="2016"/>
      <c r="BO10" s="2017"/>
      <c r="BP10" s="2018"/>
      <c r="BQ10" s="2019"/>
      <c r="BR10" s="2020"/>
      <c r="BS10" s="2021"/>
      <c r="BT10" s="2022"/>
      <c r="BU10" s="2023"/>
      <c r="BV10" s="2024"/>
      <c r="BW10" s="2025"/>
      <c r="BX10" s="2026"/>
      <c r="BY10" s="2027"/>
      <c r="BZ10" s="2028"/>
      <c r="CA10" s="2029"/>
      <c r="CB10" s="2030"/>
      <c r="CC10" s="2031"/>
      <c r="CD10" s="2032"/>
      <c r="CE10" s="2033"/>
      <c r="CF10" s="2034"/>
      <c r="CG10" s="2035"/>
      <c r="CH10" s="2036"/>
      <c r="CI10" s="2037"/>
      <c r="CJ10" s="2038"/>
      <c r="CK10" s="2039"/>
      <c r="CL10" s="2040"/>
      <c r="CM10" s="2041"/>
      <c r="CN10" s="2042"/>
      <c r="CO10" s="2043"/>
      <c r="CP10" s="2044"/>
      <c r="CQ10" s="2045"/>
      <c r="CR10" s="2046"/>
      <c r="CS10" s="2047"/>
      <c r="CT10" s="2048"/>
      <c r="CU10" s="2049"/>
      <c r="CV10" s="2050"/>
      <c r="CW10" s="2051"/>
      <c r="CX10" s="2052"/>
      <c r="CY10" s="2053"/>
      <c r="CZ10" s="2054"/>
      <c r="DA10" s="2055"/>
      <c r="DB10" s="2056"/>
      <c r="DC10" s="2057"/>
      <c r="DD10" s="2058"/>
      <c r="DE10" s="2059"/>
      <c r="DF10" s="2060"/>
      <c r="DG10" s="2061"/>
      <c r="DH10" s="2062"/>
      <c r="DI10" s="2063"/>
      <c r="DJ10" s="2064"/>
      <c r="DK10" s="2065"/>
      <c r="DL10" s="2066"/>
      <c r="DM10" s="2067"/>
      <c r="DN10" s="2068"/>
      <c r="DO10" s="2069"/>
      <c r="DP10" s="2070"/>
      <c r="DQ10" s="2071"/>
      <c r="DR10" s="2072"/>
      <c r="DS10" s="2073"/>
      <c r="DT10" s="2074"/>
      <c r="DU10" s="2075"/>
      <c r="DV10" s="2076"/>
      <c r="DW10" s="2077"/>
      <c r="DX10" s="2078"/>
      <c r="DY10" s="2079"/>
      <c r="DZ10" s="2080"/>
      <c r="EA10" s="2081"/>
      <c r="EB10" s="2082"/>
      <c r="EC10" s="2083"/>
      <c r="ED10" s="2084"/>
      <c r="EE10" s="2085"/>
      <c r="EF10" s="2086"/>
      <c r="EG10" s="2087"/>
      <c r="EH10" s="2088"/>
      <c r="EI10" s="2089"/>
      <c r="EJ10" s="2090"/>
      <c r="EK10" s="2091"/>
      <c r="EL10" s="2092"/>
      <c r="EM10" s="14461"/>
      <c r="EN10" s="14462"/>
      <c r="EO10" s="14463"/>
      <c r="EP10" s="14464"/>
      <c r="EQ10" s="14465"/>
      <c r="ER10" s="14466"/>
      <c r="ES10" s="14467"/>
      <c r="ET10" s="14468"/>
      <c r="EU10" s="14469"/>
      <c r="EV10" s="14470"/>
      <c r="EW10" s="14471"/>
      <c r="EX10" s="282"/>
      <c r="EY10" s="1316"/>
      <c r="FA10" s="407"/>
      <c r="FB10" s="407" t="str">
        <f t="shared" si="0"/>
        <v>Добавить группу потребителей</v>
      </c>
      <c r="FC10" s="407"/>
      <c r="FD10" s="407"/>
    </row>
    <row r="11" spans="1:160" ht="21" hidden="1" customHeight="1">
      <c r="A11" s="1240"/>
      <c r="B11" s="1240"/>
      <c r="C11" s="1240"/>
      <c r="D11" s="1240"/>
      <c r="E11" s="16125"/>
      <c r="F11" s="16125"/>
      <c r="G11" s="16125"/>
      <c r="H11" s="16124"/>
      <c r="I11" s="1240"/>
      <c r="J11" s="1240"/>
      <c r="K11" s="1240"/>
      <c r="L11" s="1241"/>
      <c r="M11" s="1242"/>
      <c r="N11" s="1242"/>
      <c r="O11" s="443"/>
      <c r="P11" s="276"/>
      <c r="Q11" s="290"/>
      <c r="R11" s="271"/>
      <c r="S11" s="1160"/>
      <c r="T11" s="287" t="s">
        <v>623</v>
      </c>
      <c r="U11" s="282"/>
      <c r="V11" s="282"/>
      <c r="W11" s="503"/>
      <c r="X11" s="503"/>
      <c r="Y11" s="503"/>
      <c r="Z11" s="503"/>
      <c r="AA11" s="503"/>
      <c r="AB11" s="503"/>
      <c r="AC11" s="282"/>
      <c r="AD11" s="282"/>
      <c r="AE11" s="282"/>
      <c r="AF11" s="281"/>
      <c r="AG11" s="282"/>
      <c r="AH11" s="503"/>
      <c r="AI11" s="503"/>
      <c r="AJ11" s="503"/>
      <c r="AK11" s="503"/>
      <c r="AL11" s="503"/>
      <c r="AM11" s="282"/>
      <c r="AN11" s="282"/>
      <c r="AO11" s="282"/>
      <c r="AP11" s="282"/>
      <c r="AQ11" s="281"/>
      <c r="AR11" s="2093"/>
      <c r="AS11" s="2094"/>
      <c r="AT11" s="2095"/>
      <c r="AU11" s="2096"/>
      <c r="AV11" s="2097"/>
      <c r="AW11" s="2098"/>
      <c r="AX11" s="2099"/>
      <c r="AY11" s="2100"/>
      <c r="AZ11" s="2101"/>
      <c r="BA11" s="2102"/>
      <c r="BB11" s="2103"/>
      <c r="BC11" s="2104"/>
      <c r="BD11" s="2105"/>
      <c r="BE11" s="2106"/>
      <c r="BF11" s="2107"/>
      <c r="BG11" s="2108"/>
      <c r="BH11" s="2109"/>
      <c r="BI11" s="2110"/>
      <c r="BJ11" s="2111"/>
      <c r="BK11" s="2112"/>
      <c r="BL11" s="2113"/>
      <c r="BM11" s="2114"/>
      <c r="BN11" s="2115"/>
      <c r="BO11" s="2116"/>
      <c r="BP11" s="2117"/>
      <c r="BQ11" s="2118"/>
      <c r="BR11" s="2119"/>
      <c r="BS11" s="2120"/>
      <c r="BT11" s="2121"/>
      <c r="BU11" s="2122"/>
      <c r="BV11" s="2123"/>
      <c r="BW11" s="2124"/>
      <c r="BX11" s="2125"/>
      <c r="BY11" s="2126"/>
      <c r="BZ11" s="2127"/>
      <c r="CA11" s="2128"/>
      <c r="CB11" s="2129"/>
      <c r="CC11" s="2130"/>
      <c r="CD11" s="2131"/>
      <c r="CE11" s="2132"/>
      <c r="CF11" s="2133"/>
      <c r="CG11" s="2134"/>
      <c r="CH11" s="2135"/>
      <c r="CI11" s="2136"/>
      <c r="CJ11" s="2137"/>
      <c r="CK11" s="2138"/>
      <c r="CL11" s="2139"/>
      <c r="CM11" s="2140"/>
      <c r="CN11" s="2141"/>
      <c r="CO11" s="2142"/>
      <c r="CP11" s="2143"/>
      <c r="CQ11" s="2144"/>
      <c r="CR11" s="2145"/>
      <c r="CS11" s="2146"/>
      <c r="CT11" s="2147"/>
      <c r="CU11" s="2148"/>
      <c r="CV11" s="2149"/>
      <c r="CW11" s="2150"/>
      <c r="CX11" s="2151"/>
      <c r="CY11" s="2152"/>
      <c r="CZ11" s="2153"/>
      <c r="DA11" s="2154"/>
      <c r="DB11" s="2155"/>
      <c r="DC11" s="2156"/>
      <c r="DD11" s="2157"/>
      <c r="DE11" s="2158"/>
      <c r="DF11" s="2159"/>
      <c r="DG11" s="2160"/>
      <c r="DH11" s="2161"/>
      <c r="DI11" s="2162"/>
      <c r="DJ11" s="2163"/>
      <c r="DK11" s="2164"/>
      <c r="DL11" s="2165"/>
      <c r="DM11" s="2166"/>
      <c r="DN11" s="2167"/>
      <c r="DO11" s="2168"/>
      <c r="DP11" s="2169"/>
      <c r="DQ11" s="2170"/>
      <c r="DR11" s="2171"/>
      <c r="DS11" s="2172"/>
      <c r="DT11" s="2173"/>
      <c r="DU11" s="2174"/>
      <c r="DV11" s="2175"/>
      <c r="DW11" s="2176"/>
      <c r="DX11" s="2177"/>
      <c r="DY11" s="2178"/>
      <c r="DZ11" s="2179"/>
      <c r="EA11" s="2180"/>
      <c r="EB11" s="2181"/>
      <c r="EC11" s="2182"/>
      <c r="ED11" s="2183"/>
      <c r="EE11" s="2184"/>
      <c r="EF11" s="2185"/>
      <c r="EG11" s="2186"/>
      <c r="EH11" s="2187"/>
      <c r="EI11" s="2188"/>
      <c r="EJ11" s="2189"/>
      <c r="EK11" s="2190"/>
      <c r="EL11" s="2191"/>
      <c r="EM11" s="14472"/>
      <c r="EN11" s="14473"/>
      <c r="EO11" s="14474"/>
      <c r="EP11" s="14475"/>
      <c r="EQ11" s="14476"/>
      <c r="ER11" s="14477"/>
      <c r="ES11" s="14478"/>
      <c r="ET11" s="14479"/>
      <c r="EU11" s="14480"/>
      <c r="EV11" s="14481"/>
      <c r="EW11" s="14482"/>
      <c r="EX11" s="282"/>
      <c r="EY11" s="220"/>
      <c r="FA11" s="407"/>
      <c r="FB11" s="407" t="str">
        <f t="shared" si="0"/>
        <v>Добавить наименование признака дифференциации</v>
      </c>
      <c r="FC11" s="407"/>
      <c r="FD11" s="407"/>
    </row>
    <row r="12" spans="1:160" s="14418" customFormat="1" ht="14.25" hidden="1" customHeight="1">
      <c r="A12" s="1221"/>
      <c r="B12" s="1221"/>
      <c r="C12" s="1193"/>
      <c r="D12" s="1193"/>
      <c r="E12" s="16125"/>
      <c r="F12" s="16124"/>
      <c r="G12" s="1193"/>
      <c r="H12" s="1193"/>
      <c r="I12" s="1193"/>
      <c r="J12" s="1193"/>
      <c r="K12" s="1193"/>
      <c r="L12" s="1365"/>
      <c r="M12" s="1200"/>
      <c r="N12" s="1200"/>
      <c r="P12" s="1195"/>
      <c r="Q12" s="1196"/>
      <c r="R12" s="1195"/>
      <c r="S12" s="1201"/>
      <c r="T12" s="1204" t="s">
        <v>290</v>
      </c>
      <c r="U12" s="1203"/>
      <c r="V12" s="1203"/>
      <c r="W12" s="1203"/>
      <c r="X12" s="1203"/>
      <c r="Y12" s="1203"/>
      <c r="Z12" s="1203"/>
      <c r="AA12" s="1203"/>
      <c r="AB12" s="1203"/>
      <c r="AC12" s="1203"/>
      <c r="AD12" s="1203"/>
      <c r="AE12" s="1203"/>
      <c r="AF12" s="1203"/>
      <c r="AG12" s="1203"/>
      <c r="AH12" s="1203"/>
      <c r="AI12" s="1203"/>
      <c r="AJ12" s="1203"/>
      <c r="AK12" s="1203"/>
      <c r="AL12" s="1203"/>
      <c r="AM12" s="1203"/>
      <c r="AN12" s="1203"/>
      <c r="AO12" s="1203"/>
      <c r="AP12" s="1203"/>
      <c r="AQ12" s="1203"/>
      <c r="AR12" s="2192"/>
      <c r="AS12" s="2192"/>
      <c r="AT12" s="2192"/>
      <c r="AU12" s="2192"/>
      <c r="AV12" s="2192"/>
      <c r="AW12" s="2192"/>
      <c r="AX12" s="2192"/>
      <c r="AY12" s="2192"/>
      <c r="AZ12" s="2192"/>
      <c r="BA12" s="2192"/>
      <c r="BB12" s="2192"/>
      <c r="BC12" s="2192"/>
      <c r="BD12" s="2192"/>
      <c r="BE12" s="2192"/>
      <c r="BF12" s="2192"/>
      <c r="BG12" s="2192"/>
      <c r="BH12" s="2192"/>
      <c r="BI12" s="2192"/>
      <c r="BJ12" s="2192"/>
      <c r="BK12" s="2192"/>
      <c r="BL12" s="2192"/>
      <c r="BM12" s="2192"/>
      <c r="BN12" s="2192"/>
      <c r="BO12" s="2192"/>
      <c r="BP12" s="2192"/>
      <c r="BQ12" s="2192"/>
      <c r="BR12" s="2192"/>
      <c r="BS12" s="2192"/>
      <c r="BT12" s="2192"/>
      <c r="BU12" s="2192"/>
      <c r="BV12" s="2192"/>
      <c r="BW12" s="2192"/>
      <c r="BX12" s="2192"/>
      <c r="BY12" s="2192"/>
      <c r="BZ12" s="2192"/>
      <c r="CA12" s="2192"/>
      <c r="CB12" s="2192"/>
      <c r="CC12" s="2192"/>
      <c r="CD12" s="2192"/>
      <c r="CE12" s="2192"/>
      <c r="CF12" s="2192"/>
      <c r="CG12" s="2192"/>
      <c r="CH12" s="2192"/>
      <c r="CI12" s="2192"/>
      <c r="CJ12" s="2192"/>
      <c r="CK12" s="2192"/>
      <c r="CL12" s="2192"/>
      <c r="CM12" s="2192"/>
      <c r="CN12" s="2192"/>
      <c r="CO12" s="2192"/>
      <c r="CP12" s="2192"/>
      <c r="CQ12" s="2192"/>
      <c r="CR12" s="2192"/>
      <c r="CS12" s="2192"/>
      <c r="CT12" s="2192"/>
      <c r="CU12" s="2192"/>
      <c r="CV12" s="2192"/>
      <c r="CW12" s="2192"/>
      <c r="CX12" s="2192"/>
      <c r="CY12" s="2192"/>
      <c r="CZ12" s="2192"/>
      <c r="DA12" s="2192"/>
      <c r="DB12" s="2192"/>
      <c r="DC12" s="2192"/>
      <c r="DD12" s="2192"/>
      <c r="DE12" s="2192"/>
      <c r="DF12" s="2192"/>
      <c r="DG12" s="2192"/>
      <c r="DH12" s="2192"/>
      <c r="DI12" s="2192"/>
      <c r="DJ12" s="2192"/>
      <c r="DK12" s="2192"/>
      <c r="DL12" s="2192"/>
      <c r="DM12" s="2192"/>
      <c r="DN12" s="2192"/>
      <c r="DO12" s="2192"/>
      <c r="DP12" s="2192"/>
      <c r="DQ12" s="2192"/>
      <c r="DR12" s="2192"/>
      <c r="DS12" s="2192"/>
      <c r="DT12" s="2192"/>
      <c r="DU12" s="2192"/>
      <c r="DV12" s="2192"/>
      <c r="DW12" s="2192"/>
      <c r="DX12" s="2192"/>
      <c r="DY12" s="2192"/>
      <c r="DZ12" s="2192"/>
      <c r="EA12" s="2192"/>
      <c r="EB12" s="2192"/>
      <c r="EC12" s="2192"/>
      <c r="ED12" s="2192"/>
      <c r="EE12" s="2192"/>
      <c r="EF12" s="2192"/>
      <c r="EG12" s="2192"/>
      <c r="EH12" s="2192"/>
      <c r="EI12" s="2192"/>
      <c r="EJ12" s="2192"/>
      <c r="EK12" s="2192"/>
      <c r="EL12" s="2192"/>
      <c r="EM12" s="14483"/>
      <c r="EN12" s="14483"/>
      <c r="EO12" s="14483"/>
      <c r="EP12" s="14483"/>
      <c r="EQ12" s="14483"/>
      <c r="ER12" s="14483"/>
      <c r="ES12" s="14483"/>
      <c r="ET12" s="14483"/>
      <c r="EU12" s="14483"/>
      <c r="EV12" s="14483"/>
      <c r="EW12" s="14483"/>
      <c r="EX12" s="1203"/>
      <c r="EY12" s="1203"/>
      <c r="FA12" s="687"/>
      <c r="FB12" s="687" t="str">
        <f t="shared" si="0"/>
        <v>Добавить централизованную систему для дифференциации</v>
      </c>
      <c r="FC12" s="687"/>
      <c r="FD12" s="687"/>
    </row>
    <row r="13" spans="1:160" s="14421" customFormat="1" ht="14.25" hidden="1" customHeight="1">
      <c r="A13" s="1221"/>
      <c r="B13" s="1221"/>
      <c r="C13" s="1221"/>
      <c r="D13" s="1221"/>
      <c r="E13" s="16124"/>
      <c r="F13" s="1221"/>
      <c r="G13" s="1221"/>
      <c r="H13" s="1221"/>
      <c r="I13" s="1221"/>
      <c r="J13" s="1221"/>
      <c r="K13" s="1221"/>
      <c r="L13" s="1224"/>
      <c r="M13" s="1200"/>
      <c r="N13" s="1200"/>
      <c r="O13" s="425"/>
      <c r="P13" s="295"/>
      <c r="Q13" s="1222"/>
      <c r="R13" s="295"/>
      <c r="S13" s="1201"/>
      <c r="T13" s="1204" t="s">
        <v>326</v>
      </c>
      <c r="U13" s="1203"/>
      <c r="V13" s="1203"/>
      <c r="W13" s="1203"/>
      <c r="X13" s="1203"/>
      <c r="Y13" s="1203"/>
      <c r="Z13" s="1203"/>
      <c r="AA13" s="1203"/>
      <c r="AB13" s="1203"/>
      <c r="AC13" s="1203"/>
      <c r="AD13" s="1203"/>
      <c r="AE13" s="1203"/>
      <c r="AF13" s="1203"/>
      <c r="AG13" s="1203"/>
      <c r="AH13" s="1203"/>
      <c r="AI13" s="1203"/>
      <c r="AJ13" s="1203"/>
      <c r="AK13" s="1203"/>
      <c r="AL13" s="1203"/>
      <c r="AM13" s="1203"/>
      <c r="AN13" s="1203"/>
      <c r="AO13" s="1203"/>
      <c r="AP13" s="1203"/>
      <c r="AQ13" s="1203"/>
      <c r="AR13" s="2192"/>
      <c r="AS13" s="2192"/>
      <c r="AT13" s="2192"/>
      <c r="AU13" s="2192"/>
      <c r="AV13" s="2192"/>
      <c r="AW13" s="2192"/>
      <c r="AX13" s="2192"/>
      <c r="AY13" s="2192"/>
      <c r="AZ13" s="2192"/>
      <c r="BA13" s="2192"/>
      <c r="BB13" s="2192"/>
      <c r="BC13" s="2192"/>
      <c r="BD13" s="2192"/>
      <c r="BE13" s="2192"/>
      <c r="BF13" s="2192"/>
      <c r="BG13" s="2192"/>
      <c r="BH13" s="2192"/>
      <c r="BI13" s="2192"/>
      <c r="BJ13" s="2192"/>
      <c r="BK13" s="2192"/>
      <c r="BL13" s="2192"/>
      <c r="BM13" s="2192"/>
      <c r="BN13" s="2192"/>
      <c r="BO13" s="2192"/>
      <c r="BP13" s="2192"/>
      <c r="BQ13" s="2192"/>
      <c r="BR13" s="2192"/>
      <c r="BS13" s="2192"/>
      <c r="BT13" s="2192"/>
      <c r="BU13" s="2192"/>
      <c r="BV13" s="2192"/>
      <c r="BW13" s="2192"/>
      <c r="BX13" s="2192"/>
      <c r="BY13" s="2192"/>
      <c r="BZ13" s="2192"/>
      <c r="CA13" s="2192"/>
      <c r="CB13" s="2192"/>
      <c r="CC13" s="2192"/>
      <c r="CD13" s="2192"/>
      <c r="CE13" s="2192"/>
      <c r="CF13" s="2192"/>
      <c r="CG13" s="2192"/>
      <c r="CH13" s="2192"/>
      <c r="CI13" s="2192"/>
      <c r="CJ13" s="2192"/>
      <c r="CK13" s="2192"/>
      <c r="CL13" s="2192"/>
      <c r="CM13" s="2192"/>
      <c r="CN13" s="2192"/>
      <c r="CO13" s="2192"/>
      <c r="CP13" s="2192"/>
      <c r="CQ13" s="2192"/>
      <c r="CR13" s="2192"/>
      <c r="CS13" s="2192"/>
      <c r="CT13" s="2192"/>
      <c r="CU13" s="2192"/>
      <c r="CV13" s="2192"/>
      <c r="CW13" s="2192"/>
      <c r="CX13" s="2192"/>
      <c r="CY13" s="2192"/>
      <c r="CZ13" s="2192"/>
      <c r="DA13" s="2192"/>
      <c r="DB13" s="2192"/>
      <c r="DC13" s="2192"/>
      <c r="DD13" s="2192"/>
      <c r="DE13" s="2192"/>
      <c r="DF13" s="2192"/>
      <c r="DG13" s="2192"/>
      <c r="DH13" s="2192"/>
      <c r="DI13" s="2192"/>
      <c r="DJ13" s="2192"/>
      <c r="DK13" s="2192"/>
      <c r="DL13" s="2192"/>
      <c r="DM13" s="2192"/>
      <c r="DN13" s="2192"/>
      <c r="DO13" s="2192"/>
      <c r="DP13" s="2192"/>
      <c r="DQ13" s="2192"/>
      <c r="DR13" s="2192"/>
      <c r="DS13" s="2192"/>
      <c r="DT13" s="2192"/>
      <c r="DU13" s="2192"/>
      <c r="DV13" s="2192"/>
      <c r="DW13" s="2192"/>
      <c r="DX13" s="2192"/>
      <c r="DY13" s="2192"/>
      <c r="DZ13" s="2192"/>
      <c r="EA13" s="2192"/>
      <c r="EB13" s="2192"/>
      <c r="EC13" s="2192"/>
      <c r="ED13" s="2192"/>
      <c r="EE13" s="2192"/>
      <c r="EF13" s="2192"/>
      <c r="EG13" s="2192"/>
      <c r="EH13" s="2192"/>
      <c r="EI13" s="2192"/>
      <c r="EJ13" s="2192"/>
      <c r="EK13" s="2192"/>
      <c r="EL13" s="2192"/>
      <c r="EM13" s="14483"/>
      <c r="EN13" s="14483"/>
      <c r="EO13" s="14483"/>
      <c r="EP13" s="14483"/>
      <c r="EQ13" s="14483"/>
      <c r="ER13" s="14483"/>
      <c r="ES13" s="14483"/>
      <c r="ET13" s="14483"/>
      <c r="EU13" s="14483"/>
      <c r="EV13" s="14483"/>
      <c r="EW13" s="14483"/>
      <c r="EX13" s="1203"/>
      <c r="EY13" s="1203"/>
      <c r="FA13" s="407"/>
      <c r="FB13" s="407" t="str">
        <f t="shared" si="0"/>
        <v>Добавить территорию для дифференциации</v>
      </c>
      <c r="FC13" s="407"/>
      <c r="FD13" s="407"/>
    </row>
    <row r="14" spans="1:160" ht="14.25" hidden="1" customHeight="1">
      <c r="AF14" s="244"/>
      <c r="AQ14" s="244"/>
      <c r="AR14" s="1892"/>
      <c r="AS14" s="1892"/>
      <c r="AT14" s="1892"/>
      <c r="AU14" s="1892"/>
      <c r="AV14" s="1892"/>
      <c r="AW14" s="1892"/>
      <c r="AX14" s="1892"/>
      <c r="AY14" s="1892"/>
      <c r="AZ14" s="1892"/>
      <c r="BA14" s="1892"/>
      <c r="BB14" s="1892"/>
      <c r="BC14" s="1892"/>
      <c r="BD14" s="1892"/>
      <c r="BE14" s="1892"/>
      <c r="BF14" s="1892"/>
      <c r="BG14" s="1892"/>
      <c r="BH14" s="1892"/>
      <c r="BI14" s="1892"/>
      <c r="BJ14" s="1892"/>
      <c r="BK14" s="1892"/>
      <c r="BL14" s="1892"/>
      <c r="BM14" s="1892"/>
      <c r="BN14" s="1892"/>
      <c r="BO14" s="1892"/>
      <c r="BP14" s="1892"/>
      <c r="BQ14" s="1892"/>
      <c r="BR14" s="1892"/>
      <c r="BS14" s="1892"/>
      <c r="BT14" s="1892"/>
      <c r="BU14" s="1892"/>
      <c r="BV14" s="1892"/>
      <c r="BW14" s="1892"/>
      <c r="BX14" s="1892"/>
      <c r="BY14" s="1892"/>
      <c r="BZ14" s="1892"/>
      <c r="CA14" s="1892"/>
      <c r="CB14" s="1892"/>
      <c r="CC14" s="1892"/>
      <c r="CD14" s="1892"/>
      <c r="CE14" s="1892"/>
      <c r="CF14" s="1892"/>
      <c r="CG14" s="1892"/>
      <c r="CH14" s="1892"/>
      <c r="CI14" s="1892"/>
      <c r="CJ14" s="1892"/>
      <c r="CK14" s="1892"/>
      <c r="CL14" s="1892"/>
      <c r="CM14" s="1892"/>
      <c r="CN14" s="1892"/>
      <c r="CO14" s="1892"/>
      <c r="CP14" s="1892"/>
      <c r="CQ14" s="1892"/>
      <c r="CR14" s="1892"/>
      <c r="CS14" s="1892"/>
      <c r="CT14" s="1892"/>
      <c r="CU14" s="1892"/>
      <c r="CV14" s="1892"/>
      <c r="CW14" s="1892"/>
      <c r="CX14" s="1892"/>
      <c r="CY14" s="1892"/>
      <c r="CZ14" s="1892"/>
      <c r="DA14" s="1892"/>
      <c r="DB14" s="1892"/>
      <c r="DC14" s="1892"/>
      <c r="DD14" s="1892"/>
      <c r="DE14" s="1892"/>
      <c r="DF14" s="1892"/>
      <c r="DG14" s="1892"/>
      <c r="DH14" s="1892"/>
      <c r="DI14" s="1892"/>
      <c r="DJ14" s="1892"/>
      <c r="DK14" s="1892"/>
      <c r="DL14" s="1892"/>
      <c r="DM14" s="1892"/>
      <c r="DN14" s="1892"/>
      <c r="DO14" s="1892"/>
      <c r="DP14" s="1892"/>
      <c r="DQ14" s="1892"/>
      <c r="DR14" s="1892"/>
      <c r="DS14" s="1892"/>
      <c r="DT14" s="1892"/>
      <c r="DU14" s="1892"/>
      <c r="DV14" s="1892"/>
      <c r="DW14" s="1892"/>
      <c r="DX14" s="1892"/>
      <c r="DY14" s="1892"/>
      <c r="DZ14" s="1892"/>
      <c r="EA14" s="1892"/>
      <c r="EB14" s="1892"/>
      <c r="EC14" s="1892"/>
      <c r="ED14" s="1892"/>
      <c r="EE14" s="1892"/>
      <c r="EF14" s="1892"/>
      <c r="EG14" s="1892"/>
      <c r="EH14" s="1892"/>
      <c r="EI14" s="1892"/>
      <c r="EJ14" s="1892"/>
      <c r="EK14" s="1892"/>
      <c r="EL14" s="1892"/>
      <c r="EM14" s="14447"/>
      <c r="EN14" s="14447"/>
      <c r="EO14" s="14447"/>
      <c r="EP14" s="14447"/>
      <c r="EQ14" s="14447"/>
      <c r="ER14" s="14447"/>
      <c r="ES14" s="14447"/>
      <c r="ET14" s="14447"/>
      <c r="EU14" s="14447"/>
      <c r="EV14" s="14447"/>
      <c r="EW14" s="14447"/>
    </row>
    <row r="15" spans="1:160" ht="14.25" hidden="1" customHeight="1">
      <c r="AG15" s="1237"/>
      <c r="AH15" s="1237"/>
      <c r="AI15" s="1237"/>
      <c r="AJ15" s="1237"/>
      <c r="AK15" s="1237"/>
      <c r="AL15" s="1237"/>
      <c r="AM15" s="1237"/>
      <c r="AN15" s="16129"/>
      <c r="AO15" s="16130" t="s">
        <v>66</v>
      </c>
      <c r="AP15" s="16129"/>
      <c r="AQ15" s="16130" t="s">
        <v>66</v>
      </c>
      <c r="AR15" s="1892"/>
      <c r="AS15" s="1892"/>
      <c r="AT15" s="1892"/>
      <c r="AU15" s="1892"/>
      <c r="AV15" s="1892"/>
      <c r="AW15" s="1892"/>
      <c r="AX15" s="1892"/>
      <c r="AY15" s="1892"/>
      <c r="AZ15" s="1892"/>
      <c r="BA15" s="1892"/>
      <c r="BB15" s="1892"/>
      <c r="BC15" s="1892"/>
      <c r="BD15" s="1892"/>
      <c r="BE15" s="1892"/>
      <c r="BF15" s="1892"/>
      <c r="BG15" s="1892"/>
      <c r="BH15" s="1892"/>
      <c r="BI15" s="1892"/>
      <c r="BJ15" s="1892"/>
      <c r="BK15" s="1892"/>
      <c r="BL15" s="1892"/>
      <c r="BM15" s="1892"/>
      <c r="BN15" s="1892"/>
      <c r="BO15" s="1892"/>
      <c r="BP15" s="1892"/>
      <c r="BQ15" s="1892"/>
      <c r="BR15" s="1892"/>
      <c r="BS15" s="1892"/>
      <c r="BT15" s="1892"/>
      <c r="BU15" s="1892"/>
      <c r="BV15" s="1892"/>
      <c r="BW15" s="1892"/>
      <c r="BX15" s="1892"/>
      <c r="BY15" s="1892"/>
      <c r="BZ15" s="1892"/>
      <c r="CA15" s="1892"/>
      <c r="CB15" s="1892"/>
      <c r="CC15" s="1892"/>
      <c r="CD15" s="1892"/>
      <c r="CE15" s="1892"/>
      <c r="CF15" s="1892"/>
      <c r="CG15" s="1892"/>
      <c r="CH15" s="1892"/>
      <c r="CI15" s="1892"/>
      <c r="CJ15" s="1892"/>
      <c r="CK15" s="1892"/>
      <c r="CL15" s="1892"/>
      <c r="CM15" s="1892"/>
      <c r="CN15" s="1892"/>
      <c r="CO15" s="1892"/>
      <c r="CP15" s="1892"/>
      <c r="CQ15" s="1892"/>
      <c r="CR15" s="1892"/>
      <c r="CS15" s="1892"/>
      <c r="CT15" s="1892"/>
      <c r="CU15" s="1892"/>
      <c r="CV15" s="1892"/>
      <c r="CW15" s="1892"/>
      <c r="CX15" s="1892"/>
      <c r="CY15" s="1892"/>
      <c r="CZ15" s="1892"/>
      <c r="DA15" s="1892"/>
      <c r="DB15" s="1892"/>
      <c r="DC15" s="1892"/>
      <c r="DD15" s="1892"/>
      <c r="DE15" s="1892"/>
      <c r="DF15" s="1892"/>
      <c r="DG15" s="1892"/>
      <c r="DH15" s="1892"/>
      <c r="DI15" s="1892"/>
      <c r="DJ15" s="1892"/>
      <c r="DK15" s="1892"/>
      <c r="DL15" s="1892"/>
      <c r="DM15" s="1892"/>
      <c r="DN15" s="1892"/>
      <c r="DO15" s="1892"/>
      <c r="DP15" s="1892"/>
      <c r="DQ15" s="1892"/>
      <c r="DR15" s="1892"/>
      <c r="DS15" s="1892"/>
      <c r="DT15" s="1892"/>
      <c r="DU15" s="1892"/>
      <c r="DV15" s="1892"/>
      <c r="DW15" s="1892"/>
      <c r="DX15" s="1892"/>
      <c r="DY15" s="1892"/>
      <c r="DZ15" s="1892"/>
      <c r="EA15" s="1892"/>
      <c r="EB15" s="1892"/>
      <c r="EC15" s="1892"/>
      <c r="ED15" s="1892"/>
      <c r="EE15" s="1892"/>
      <c r="EF15" s="1892"/>
      <c r="EG15" s="1892"/>
      <c r="EH15" s="1892"/>
      <c r="EI15" s="1892"/>
      <c r="EJ15" s="1892"/>
      <c r="EK15" s="1892"/>
      <c r="EL15" s="1892"/>
      <c r="EM15" s="14447"/>
      <c r="EN15" s="14447"/>
      <c r="EO15" s="14447"/>
      <c r="EP15" s="14447"/>
      <c r="EQ15" s="14447"/>
      <c r="ER15" s="14447"/>
      <c r="ES15" s="14447"/>
      <c r="ET15" s="14447"/>
      <c r="EU15" s="14447"/>
      <c r="EV15" s="14447"/>
      <c r="EW15" s="14447"/>
    </row>
    <row r="16" spans="1:160" ht="14.25" hidden="1" customHeight="1">
      <c r="AG16" s="1237"/>
      <c r="AH16" s="1237"/>
      <c r="AI16" s="1237"/>
      <c r="AJ16" s="1237"/>
      <c r="AK16" s="1237"/>
      <c r="AL16" s="1237"/>
      <c r="AM16" s="1237"/>
      <c r="AN16" s="16130"/>
      <c r="AO16" s="16130"/>
      <c r="AP16" s="16130"/>
      <c r="AQ16" s="16130"/>
      <c r="AR16" s="1892"/>
      <c r="AS16" s="1892"/>
      <c r="AT16" s="1892"/>
      <c r="AU16" s="1892"/>
      <c r="AV16" s="1892"/>
      <c r="AW16" s="1892"/>
      <c r="AX16" s="1892"/>
      <c r="AY16" s="1892"/>
      <c r="AZ16" s="1892"/>
      <c r="BA16" s="1892"/>
      <c r="BB16" s="1892"/>
      <c r="BC16" s="1892"/>
      <c r="BD16" s="1892"/>
      <c r="BE16" s="1892"/>
      <c r="BF16" s="1892"/>
      <c r="BG16" s="1892"/>
      <c r="BH16" s="1892"/>
      <c r="BI16" s="1892"/>
      <c r="BJ16" s="1892"/>
      <c r="BK16" s="1892"/>
      <c r="BL16" s="1892"/>
      <c r="BM16" s="1892"/>
      <c r="BN16" s="1892"/>
      <c r="BO16" s="1892"/>
      <c r="BP16" s="1892"/>
      <c r="BQ16" s="1892"/>
      <c r="BR16" s="1892"/>
      <c r="BS16" s="1892"/>
      <c r="BT16" s="1892"/>
      <c r="BU16" s="1892"/>
      <c r="BV16" s="1892"/>
      <c r="BW16" s="1892"/>
      <c r="BX16" s="1892"/>
      <c r="BY16" s="1892"/>
      <c r="BZ16" s="1892"/>
      <c r="CA16" s="1892"/>
      <c r="CB16" s="1892"/>
      <c r="CC16" s="1892"/>
      <c r="CD16" s="1892"/>
      <c r="CE16" s="1892"/>
      <c r="CF16" s="1892"/>
      <c r="CG16" s="1892"/>
      <c r="CH16" s="1892"/>
      <c r="CI16" s="1892"/>
      <c r="CJ16" s="1892"/>
      <c r="CK16" s="1892"/>
      <c r="CL16" s="1892"/>
      <c r="CM16" s="1892"/>
      <c r="CN16" s="1892"/>
      <c r="CO16" s="1892"/>
      <c r="CP16" s="1892"/>
      <c r="CQ16" s="1892"/>
      <c r="CR16" s="1892"/>
      <c r="CS16" s="1892"/>
      <c r="CT16" s="1892"/>
      <c r="CU16" s="1892"/>
      <c r="CV16" s="1892"/>
      <c r="CW16" s="1892"/>
      <c r="CX16" s="1892"/>
      <c r="CY16" s="1892"/>
      <c r="CZ16" s="1892"/>
      <c r="DA16" s="1892"/>
      <c r="DB16" s="1892"/>
      <c r="DC16" s="1892"/>
      <c r="DD16" s="1892"/>
      <c r="DE16" s="1892"/>
      <c r="DF16" s="1892"/>
      <c r="DG16" s="1892"/>
      <c r="DH16" s="1892"/>
      <c r="DI16" s="1892"/>
      <c r="DJ16" s="1892"/>
      <c r="DK16" s="1892"/>
      <c r="DL16" s="1892"/>
      <c r="DM16" s="1892"/>
      <c r="DN16" s="1892"/>
      <c r="DO16" s="1892"/>
      <c r="DP16" s="1892"/>
      <c r="DQ16" s="1892"/>
      <c r="DR16" s="1892"/>
      <c r="DS16" s="1892"/>
      <c r="DT16" s="1892"/>
      <c r="DU16" s="1892"/>
      <c r="DV16" s="1892"/>
      <c r="DW16" s="1892"/>
      <c r="DX16" s="1892"/>
      <c r="DY16" s="1892"/>
      <c r="DZ16" s="1892"/>
      <c r="EA16" s="1892"/>
      <c r="EB16" s="1892"/>
      <c r="EC16" s="1892"/>
      <c r="ED16" s="1892"/>
      <c r="EE16" s="1892"/>
      <c r="EF16" s="1892"/>
      <c r="EG16" s="1892"/>
      <c r="EH16" s="1892"/>
      <c r="EI16" s="1892"/>
      <c r="EJ16" s="1892"/>
      <c r="EK16" s="1892"/>
      <c r="EL16" s="1892"/>
      <c r="EM16" s="14447"/>
      <c r="EN16" s="14447"/>
      <c r="EO16" s="14447"/>
      <c r="EP16" s="14447"/>
      <c r="EQ16" s="14447"/>
      <c r="ER16" s="14447"/>
      <c r="ES16" s="14447"/>
      <c r="ET16" s="14447"/>
      <c r="EU16" s="14447"/>
      <c r="EV16" s="14447"/>
      <c r="EW16" s="14447"/>
    </row>
    <row r="17" spans="1:160" ht="14.25" hidden="1" customHeight="1">
      <c r="AQ17" s="244"/>
      <c r="AR17" s="1892"/>
      <c r="AS17" s="1892"/>
      <c r="AT17" s="1892"/>
      <c r="AU17" s="1892"/>
      <c r="AV17" s="1892"/>
      <c r="AW17" s="1892"/>
      <c r="AX17" s="1892"/>
      <c r="AY17" s="1892"/>
      <c r="AZ17" s="1892"/>
      <c r="BA17" s="1892"/>
      <c r="BB17" s="1892"/>
      <c r="BC17" s="1892"/>
      <c r="BD17" s="1892"/>
      <c r="BE17" s="1892"/>
      <c r="BF17" s="1892"/>
      <c r="BG17" s="1892"/>
      <c r="BH17" s="1892"/>
      <c r="BI17" s="1892"/>
      <c r="BJ17" s="1892"/>
      <c r="BK17" s="1892"/>
      <c r="BL17" s="1892"/>
      <c r="BM17" s="1892"/>
      <c r="BN17" s="1892"/>
      <c r="BO17" s="1892"/>
      <c r="BP17" s="1892"/>
      <c r="BQ17" s="1892"/>
      <c r="BR17" s="1892"/>
      <c r="BS17" s="1892"/>
      <c r="BT17" s="1892"/>
      <c r="BU17" s="1892"/>
      <c r="BV17" s="1892"/>
      <c r="BW17" s="1892"/>
      <c r="BX17" s="1892"/>
      <c r="BY17" s="1892"/>
      <c r="BZ17" s="1892"/>
      <c r="CA17" s="1892"/>
      <c r="CB17" s="1892"/>
      <c r="CC17" s="1892"/>
      <c r="CD17" s="1892"/>
      <c r="CE17" s="1892"/>
      <c r="CF17" s="1892"/>
      <c r="CG17" s="1892"/>
      <c r="CH17" s="1892"/>
      <c r="CI17" s="1892"/>
      <c r="CJ17" s="1892"/>
      <c r="CK17" s="1892"/>
      <c r="CL17" s="1892"/>
      <c r="CM17" s="1892"/>
      <c r="CN17" s="1892"/>
      <c r="CO17" s="1892"/>
      <c r="CP17" s="1892"/>
      <c r="CQ17" s="1892"/>
      <c r="CR17" s="1892"/>
      <c r="CS17" s="1892"/>
      <c r="CT17" s="1892"/>
      <c r="CU17" s="1892"/>
      <c r="CV17" s="1892"/>
      <c r="CW17" s="1892"/>
      <c r="CX17" s="1892"/>
      <c r="CY17" s="1892"/>
      <c r="CZ17" s="1892"/>
      <c r="DA17" s="1892"/>
      <c r="DB17" s="1892"/>
      <c r="DC17" s="1892"/>
      <c r="DD17" s="1892"/>
      <c r="DE17" s="1892"/>
      <c r="DF17" s="1892"/>
      <c r="DG17" s="1892"/>
      <c r="DH17" s="1892"/>
      <c r="DI17" s="1892"/>
      <c r="DJ17" s="1892"/>
      <c r="DK17" s="1892"/>
      <c r="DL17" s="1892"/>
      <c r="DM17" s="1892"/>
      <c r="DN17" s="1892"/>
      <c r="DO17" s="1892"/>
      <c r="DP17" s="1892"/>
      <c r="DQ17" s="1892"/>
      <c r="DR17" s="1892"/>
      <c r="DS17" s="1892"/>
      <c r="DT17" s="1892"/>
      <c r="DU17" s="1892"/>
      <c r="DV17" s="1892"/>
      <c r="DW17" s="1892"/>
      <c r="DX17" s="1892"/>
      <c r="DY17" s="1892"/>
      <c r="DZ17" s="1892"/>
      <c r="EA17" s="1892"/>
      <c r="EB17" s="1892"/>
      <c r="EC17" s="1892"/>
      <c r="ED17" s="1892"/>
      <c r="EE17" s="1892"/>
      <c r="EF17" s="1892"/>
      <c r="EG17" s="1892"/>
      <c r="EH17" s="1892"/>
      <c r="EI17" s="1892"/>
      <c r="EJ17" s="1892"/>
      <c r="EK17" s="1892"/>
      <c r="EL17" s="1892"/>
      <c r="EM17" s="14447"/>
      <c r="EN17" s="14447"/>
      <c r="EO17" s="14447"/>
      <c r="EP17" s="14447"/>
      <c r="EQ17" s="14447"/>
      <c r="ER17" s="14447"/>
      <c r="ES17" s="14447"/>
      <c r="ET17" s="14447"/>
      <c r="EU17" s="14447"/>
      <c r="EV17" s="14447"/>
      <c r="EW17" s="14447"/>
    </row>
    <row r="18" spans="1:160" s="14419" customFormat="1" ht="22.5" hidden="1" customHeight="1">
      <c r="L18" s="1349"/>
      <c r="M18" s="1239"/>
      <c r="N18" s="1239"/>
      <c r="O18" s="1244" t="s">
        <v>552</v>
      </c>
      <c r="P18" s="1239"/>
      <c r="Q18" s="1248"/>
      <c r="R18" s="1248"/>
      <c r="S18" s="629"/>
      <c r="W18" s="1243"/>
      <c r="X18" s="1243"/>
      <c r="Y18" s="1243"/>
      <c r="Z18" s="1243"/>
      <c r="AA18" s="1243"/>
      <c r="AB18" s="1243"/>
      <c r="AC18" s="1244"/>
      <c r="AE18" s="1244"/>
      <c r="AF18" s="1243"/>
      <c r="AH18" s="1243"/>
      <c r="AI18" s="1243"/>
      <c r="AJ18" s="1243"/>
      <c r="AK18" s="1243"/>
      <c r="AL18" s="1243"/>
      <c r="AN18" s="1244"/>
      <c r="AP18" s="1244"/>
      <c r="AQ18" s="1243"/>
      <c r="AR18" s="2193"/>
      <c r="AS18" s="2193"/>
      <c r="AT18" s="2193"/>
      <c r="AU18" s="2193"/>
      <c r="AV18" s="2193"/>
      <c r="AW18" s="2193"/>
      <c r="AX18" s="2193"/>
      <c r="AY18" s="2194"/>
      <c r="AZ18" s="2193"/>
      <c r="BA18" s="2194"/>
      <c r="BB18" s="2193"/>
      <c r="BC18" s="2193"/>
      <c r="BD18" s="2193"/>
      <c r="BE18" s="2193"/>
      <c r="BF18" s="2193"/>
      <c r="BG18" s="2193"/>
      <c r="BH18" s="2193"/>
      <c r="BI18" s="2193"/>
      <c r="BJ18" s="2194"/>
      <c r="BK18" s="2193"/>
      <c r="BL18" s="2194"/>
      <c r="BM18" s="2193"/>
      <c r="BN18" s="2193"/>
      <c r="BO18" s="2193"/>
      <c r="BP18" s="2193"/>
      <c r="BQ18" s="2193"/>
      <c r="BR18" s="2193"/>
      <c r="BS18" s="2193"/>
      <c r="BT18" s="2193"/>
      <c r="BU18" s="2194"/>
      <c r="BV18" s="2193"/>
      <c r="BW18" s="2194"/>
      <c r="BX18" s="2193"/>
      <c r="BY18" s="2193"/>
      <c r="BZ18" s="2193"/>
      <c r="CA18" s="2193"/>
      <c r="CB18" s="2193"/>
      <c r="CC18" s="2193"/>
      <c r="CD18" s="2193"/>
      <c r="CE18" s="2193"/>
      <c r="CF18" s="2194"/>
      <c r="CG18" s="2193"/>
      <c r="CH18" s="2194"/>
      <c r="CI18" s="2193"/>
      <c r="CJ18" s="2193"/>
      <c r="CK18" s="2193"/>
      <c r="CL18" s="2193"/>
      <c r="CM18" s="2193"/>
      <c r="CN18" s="2193"/>
      <c r="CO18" s="2193"/>
      <c r="CP18" s="2193"/>
      <c r="CQ18" s="2194"/>
      <c r="CR18" s="2193"/>
      <c r="CS18" s="2194"/>
      <c r="CT18" s="2193"/>
      <c r="CU18" s="2193"/>
      <c r="CV18" s="2193"/>
      <c r="CW18" s="2193"/>
      <c r="CX18" s="2193"/>
      <c r="CY18" s="2193"/>
      <c r="CZ18" s="2193"/>
      <c r="DA18" s="2193"/>
      <c r="DB18" s="2194"/>
      <c r="DC18" s="2193"/>
      <c r="DD18" s="2194"/>
      <c r="DE18" s="2193"/>
      <c r="DF18" s="2193"/>
      <c r="DG18" s="2193"/>
      <c r="DH18" s="2193"/>
      <c r="DI18" s="2193"/>
      <c r="DJ18" s="2193"/>
      <c r="DK18" s="2193"/>
      <c r="DL18" s="2193"/>
      <c r="DM18" s="2194"/>
      <c r="DN18" s="2193"/>
      <c r="DO18" s="2194"/>
      <c r="DP18" s="2193"/>
      <c r="DQ18" s="2193"/>
      <c r="DR18" s="2193"/>
      <c r="DS18" s="2193"/>
      <c r="DT18" s="2193"/>
      <c r="DU18" s="2193"/>
      <c r="DV18" s="2193"/>
      <c r="DW18" s="2193"/>
      <c r="DX18" s="2194"/>
      <c r="DY18" s="2193"/>
      <c r="DZ18" s="2194"/>
      <c r="EA18" s="2193"/>
      <c r="EB18" s="2193"/>
      <c r="EC18" s="2193"/>
      <c r="ED18" s="2193"/>
      <c r="EE18" s="2193"/>
      <c r="EF18" s="2193"/>
      <c r="EG18" s="2193"/>
      <c r="EH18" s="2193"/>
      <c r="EI18" s="2194"/>
      <c r="EJ18" s="2193"/>
      <c r="EK18" s="2194"/>
      <c r="EL18" s="2193"/>
      <c r="EM18" s="14484"/>
      <c r="EN18" s="14484"/>
      <c r="EO18" s="14484"/>
      <c r="EP18" s="14484"/>
      <c r="EQ18" s="14484"/>
      <c r="ER18" s="14484"/>
      <c r="ES18" s="14484"/>
      <c r="ET18" s="14485"/>
      <c r="EU18" s="14484"/>
      <c r="EV18" s="14485"/>
      <c r="EW18" s="14484"/>
      <c r="EZ18" s="418"/>
      <c r="FA18" s="418"/>
      <c r="FB18" s="418"/>
      <c r="FC18" s="418"/>
      <c r="FD18" s="418"/>
    </row>
    <row r="19" spans="1:160" s="14419" customFormat="1" ht="14.25" hidden="1" customHeight="1">
      <c r="L19" s="1349"/>
      <c r="M19" s="1239"/>
      <c r="N19" s="1239"/>
      <c r="O19" s="1239"/>
      <c r="P19" s="1239"/>
      <c r="Q19" s="1248"/>
      <c r="R19" s="1248"/>
      <c r="S19" s="629"/>
      <c r="W19" s="1243"/>
      <c r="X19" s="1243"/>
      <c r="Y19" s="1243"/>
      <c r="Z19" s="1243"/>
      <c r="AA19" s="1243"/>
      <c r="AB19" s="1243"/>
      <c r="AF19" s="1243"/>
      <c r="AH19" s="1243"/>
      <c r="AI19" s="1243"/>
      <c r="AJ19" s="1243"/>
      <c r="AK19" s="1243"/>
      <c r="AL19" s="1243"/>
      <c r="AQ19" s="1243"/>
      <c r="AR19" s="2193"/>
      <c r="AS19" s="2193"/>
      <c r="AT19" s="2193"/>
      <c r="AU19" s="2193"/>
      <c r="AV19" s="2193"/>
      <c r="AW19" s="2193"/>
      <c r="AX19" s="2193"/>
      <c r="AY19" s="2193"/>
      <c r="AZ19" s="2193"/>
      <c r="BA19" s="2193"/>
      <c r="BB19" s="2193"/>
      <c r="BC19" s="2193"/>
      <c r="BD19" s="2193"/>
      <c r="BE19" s="2193"/>
      <c r="BF19" s="2193"/>
      <c r="BG19" s="2193"/>
      <c r="BH19" s="2193"/>
      <c r="BI19" s="2193"/>
      <c r="BJ19" s="2193"/>
      <c r="BK19" s="2193"/>
      <c r="BL19" s="2193"/>
      <c r="BM19" s="2193"/>
      <c r="BN19" s="2193"/>
      <c r="BO19" s="2193"/>
      <c r="BP19" s="2193"/>
      <c r="BQ19" s="2193"/>
      <c r="BR19" s="2193"/>
      <c r="BS19" s="2193"/>
      <c r="BT19" s="2193"/>
      <c r="BU19" s="2193"/>
      <c r="BV19" s="2193"/>
      <c r="BW19" s="2193"/>
      <c r="BX19" s="2193"/>
      <c r="BY19" s="2193"/>
      <c r="BZ19" s="2193"/>
      <c r="CA19" s="2193"/>
      <c r="CB19" s="2193"/>
      <c r="CC19" s="2193"/>
      <c r="CD19" s="2193"/>
      <c r="CE19" s="2193"/>
      <c r="CF19" s="2193"/>
      <c r="CG19" s="2193"/>
      <c r="CH19" s="2193"/>
      <c r="CI19" s="2193"/>
      <c r="CJ19" s="2193"/>
      <c r="CK19" s="2193"/>
      <c r="CL19" s="2193"/>
      <c r="CM19" s="2193"/>
      <c r="CN19" s="2193"/>
      <c r="CO19" s="2193"/>
      <c r="CP19" s="2193"/>
      <c r="CQ19" s="2193"/>
      <c r="CR19" s="2193"/>
      <c r="CS19" s="2193"/>
      <c r="CT19" s="2193"/>
      <c r="CU19" s="2193"/>
      <c r="CV19" s="2193"/>
      <c r="CW19" s="2193"/>
      <c r="CX19" s="2193"/>
      <c r="CY19" s="2193"/>
      <c r="CZ19" s="2193"/>
      <c r="DA19" s="2193"/>
      <c r="DB19" s="2193"/>
      <c r="DC19" s="2193"/>
      <c r="DD19" s="2193"/>
      <c r="DE19" s="2193"/>
      <c r="DF19" s="2193"/>
      <c r="DG19" s="2193"/>
      <c r="DH19" s="2193"/>
      <c r="DI19" s="2193"/>
      <c r="DJ19" s="2193"/>
      <c r="DK19" s="2193"/>
      <c r="DL19" s="2193"/>
      <c r="DM19" s="2193"/>
      <c r="DN19" s="2193"/>
      <c r="DO19" s="2193"/>
      <c r="DP19" s="2193"/>
      <c r="DQ19" s="2193"/>
      <c r="DR19" s="2193"/>
      <c r="DS19" s="2193"/>
      <c r="DT19" s="2193"/>
      <c r="DU19" s="2193"/>
      <c r="DV19" s="2193"/>
      <c r="DW19" s="2193"/>
      <c r="DX19" s="2193"/>
      <c r="DY19" s="2193"/>
      <c r="DZ19" s="2193"/>
      <c r="EA19" s="2193"/>
      <c r="EB19" s="2193"/>
      <c r="EC19" s="2193"/>
      <c r="ED19" s="2193"/>
      <c r="EE19" s="2193"/>
      <c r="EF19" s="2193"/>
      <c r="EG19" s="2193"/>
      <c r="EH19" s="2193"/>
      <c r="EI19" s="2193"/>
      <c r="EJ19" s="2193"/>
      <c r="EK19" s="2193"/>
      <c r="EL19" s="2193"/>
      <c r="EM19" s="14484"/>
      <c r="EN19" s="14484"/>
      <c r="EO19" s="14484"/>
      <c r="EP19" s="14484"/>
      <c r="EQ19" s="14484"/>
      <c r="ER19" s="14484"/>
      <c r="ES19" s="14484"/>
      <c r="ET19" s="14484"/>
      <c r="EU19" s="14484"/>
      <c r="EV19" s="14484"/>
      <c r="EW19" s="14484"/>
      <c r="EZ19" s="418"/>
      <c r="FA19" s="418"/>
      <c r="FB19" s="418"/>
      <c r="FC19" s="418"/>
      <c r="FD19" s="418"/>
    </row>
    <row r="20" spans="1:160" s="14419" customFormat="1" ht="12" hidden="1" customHeight="1">
      <c r="L20" s="1349"/>
      <c r="M20" s="1239"/>
      <c r="N20" s="1239"/>
      <c r="O20" s="1241" t="s">
        <v>553</v>
      </c>
      <c r="P20" s="1239"/>
      <c r="Q20" s="1317"/>
      <c r="R20" s="1317"/>
      <c r="S20" s="629"/>
      <c r="T20" s="1041" t="s">
        <v>554</v>
      </c>
      <c r="W20" s="1243"/>
      <c r="X20" s="1243"/>
      <c r="Y20" s="1243"/>
      <c r="Z20" s="1243"/>
      <c r="AA20" s="1243"/>
      <c r="AB20" s="1243"/>
      <c r="AD20" s="108" t="s">
        <v>555</v>
      </c>
      <c r="AF20" s="108" t="s">
        <v>556</v>
      </c>
      <c r="AG20" s="1041" t="s">
        <v>554</v>
      </c>
      <c r="AH20" s="1243"/>
      <c r="AI20" s="1243"/>
      <c r="AJ20" s="1243"/>
      <c r="AK20" s="1243"/>
      <c r="AL20" s="1243"/>
      <c r="AO20" s="108" t="s">
        <v>557</v>
      </c>
      <c r="AQ20" s="108" t="s">
        <v>556</v>
      </c>
      <c r="AR20" s="2193"/>
      <c r="AS20" s="2193"/>
      <c r="AT20" s="2193"/>
      <c r="AU20" s="2193"/>
      <c r="AV20" s="2193"/>
      <c r="AW20" s="2193"/>
      <c r="AX20" s="2193"/>
      <c r="AY20" s="2193"/>
      <c r="AZ20" s="2195" t="s">
        <v>555</v>
      </c>
      <c r="BA20" s="2193"/>
      <c r="BB20" s="2195" t="s">
        <v>556</v>
      </c>
      <c r="BC20" s="2193"/>
      <c r="BD20" s="2193"/>
      <c r="BE20" s="2193"/>
      <c r="BF20" s="2193"/>
      <c r="BG20" s="2193"/>
      <c r="BH20" s="2193"/>
      <c r="BI20" s="2193"/>
      <c r="BJ20" s="2193"/>
      <c r="BK20" s="2195" t="s">
        <v>555</v>
      </c>
      <c r="BL20" s="2193"/>
      <c r="BM20" s="2195" t="s">
        <v>556</v>
      </c>
      <c r="BN20" s="2193"/>
      <c r="BO20" s="2193"/>
      <c r="BP20" s="2193"/>
      <c r="BQ20" s="2193"/>
      <c r="BR20" s="2193"/>
      <c r="BS20" s="2193"/>
      <c r="BT20" s="2193"/>
      <c r="BU20" s="2193"/>
      <c r="BV20" s="2195" t="s">
        <v>555</v>
      </c>
      <c r="BW20" s="2193"/>
      <c r="BX20" s="2195" t="s">
        <v>556</v>
      </c>
      <c r="BY20" s="2193"/>
      <c r="BZ20" s="2193"/>
      <c r="CA20" s="2193"/>
      <c r="CB20" s="2193"/>
      <c r="CC20" s="2193"/>
      <c r="CD20" s="2193"/>
      <c r="CE20" s="2193"/>
      <c r="CF20" s="2193"/>
      <c r="CG20" s="2195" t="s">
        <v>555</v>
      </c>
      <c r="CH20" s="2193"/>
      <c r="CI20" s="2195" t="s">
        <v>556</v>
      </c>
      <c r="CJ20" s="2193"/>
      <c r="CK20" s="2193"/>
      <c r="CL20" s="2193"/>
      <c r="CM20" s="2193"/>
      <c r="CN20" s="2193"/>
      <c r="CO20" s="2193"/>
      <c r="CP20" s="2193"/>
      <c r="CQ20" s="2193"/>
      <c r="CR20" s="2195" t="s">
        <v>555</v>
      </c>
      <c r="CS20" s="2193"/>
      <c r="CT20" s="2195" t="s">
        <v>556</v>
      </c>
      <c r="CU20" s="2193"/>
      <c r="CV20" s="2193"/>
      <c r="CW20" s="2193"/>
      <c r="CX20" s="2193"/>
      <c r="CY20" s="2193"/>
      <c r="CZ20" s="2193"/>
      <c r="DA20" s="2193"/>
      <c r="DB20" s="2193"/>
      <c r="DC20" s="2195" t="s">
        <v>555</v>
      </c>
      <c r="DD20" s="2193"/>
      <c r="DE20" s="2195" t="s">
        <v>556</v>
      </c>
      <c r="DF20" s="2193"/>
      <c r="DG20" s="2193"/>
      <c r="DH20" s="2193"/>
      <c r="DI20" s="2193"/>
      <c r="DJ20" s="2193"/>
      <c r="DK20" s="2193"/>
      <c r="DL20" s="2193"/>
      <c r="DM20" s="2193"/>
      <c r="DN20" s="2195" t="s">
        <v>555</v>
      </c>
      <c r="DO20" s="2193"/>
      <c r="DP20" s="2195" t="s">
        <v>556</v>
      </c>
      <c r="DQ20" s="2193"/>
      <c r="DR20" s="2193"/>
      <c r="DS20" s="2193"/>
      <c r="DT20" s="2193"/>
      <c r="DU20" s="2193"/>
      <c r="DV20" s="2193"/>
      <c r="DW20" s="2193"/>
      <c r="DX20" s="2193"/>
      <c r="DY20" s="2195" t="s">
        <v>555</v>
      </c>
      <c r="DZ20" s="2193"/>
      <c r="EA20" s="2195" t="s">
        <v>556</v>
      </c>
      <c r="EB20" s="2193"/>
      <c r="EC20" s="2193"/>
      <c r="ED20" s="2193"/>
      <c r="EE20" s="2193"/>
      <c r="EF20" s="2193"/>
      <c r="EG20" s="2193"/>
      <c r="EH20" s="2193"/>
      <c r="EI20" s="2193"/>
      <c r="EJ20" s="2195" t="s">
        <v>555</v>
      </c>
      <c r="EK20" s="2193"/>
      <c r="EL20" s="2195" t="s">
        <v>556</v>
      </c>
      <c r="EM20" s="14484"/>
      <c r="EN20" s="14484"/>
      <c r="EO20" s="14484"/>
      <c r="EP20" s="14484"/>
      <c r="EQ20" s="14484"/>
      <c r="ER20" s="14484"/>
      <c r="ES20" s="14484"/>
      <c r="ET20" s="14484"/>
      <c r="EU20" s="14486" t="s">
        <v>555</v>
      </c>
      <c r="EV20" s="14484"/>
      <c r="EW20" s="14486" t="s">
        <v>556</v>
      </c>
    </row>
    <row r="21" spans="1:160" ht="14.25" hidden="1" customHeight="1">
      <c r="O21" s="1241"/>
      <c r="AR21" s="1892"/>
      <c r="AS21" s="1892"/>
      <c r="AT21" s="1892"/>
      <c r="AU21" s="1892"/>
      <c r="AV21" s="1892"/>
      <c r="AW21" s="1892"/>
      <c r="AX21" s="1892"/>
      <c r="AY21" s="1892"/>
      <c r="AZ21" s="1892"/>
      <c r="BA21" s="1892"/>
      <c r="BB21" s="1892"/>
      <c r="BC21" s="1892"/>
      <c r="BD21" s="1892"/>
      <c r="BE21" s="1892"/>
      <c r="BF21" s="1892"/>
      <c r="BG21" s="1892"/>
      <c r="BH21" s="1892"/>
      <c r="BI21" s="1892"/>
      <c r="BJ21" s="1892"/>
      <c r="BK21" s="1892"/>
      <c r="BL21" s="1892"/>
      <c r="BM21" s="1892"/>
      <c r="BN21" s="1892"/>
      <c r="BO21" s="1892"/>
      <c r="BP21" s="1892"/>
      <c r="BQ21" s="1892"/>
      <c r="BR21" s="1892"/>
      <c r="BS21" s="1892"/>
      <c r="BT21" s="1892"/>
      <c r="BU21" s="1892"/>
      <c r="BV21" s="1892"/>
      <c r="BW21" s="1892"/>
      <c r="BX21" s="1892"/>
      <c r="BY21" s="1892"/>
      <c r="BZ21" s="1892"/>
      <c r="CA21" s="1892"/>
      <c r="CB21" s="1892"/>
      <c r="CC21" s="1892"/>
      <c r="CD21" s="1892"/>
      <c r="CE21" s="1892"/>
      <c r="CF21" s="1892"/>
      <c r="CG21" s="1892"/>
      <c r="CH21" s="1892"/>
      <c r="CI21" s="1892"/>
      <c r="CJ21" s="1892"/>
      <c r="CK21" s="1892"/>
      <c r="CL21" s="1892"/>
      <c r="CM21" s="1892"/>
      <c r="CN21" s="1892"/>
      <c r="CO21" s="1892"/>
      <c r="CP21" s="1892"/>
      <c r="CQ21" s="1892"/>
      <c r="CR21" s="1892"/>
      <c r="CS21" s="1892"/>
      <c r="CT21" s="1892"/>
      <c r="CU21" s="1892"/>
      <c r="CV21" s="1892"/>
      <c r="CW21" s="1892"/>
      <c r="CX21" s="1892"/>
      <c r="CY21" s="1892"/>
      <c r="CZ21" s="1892"/>
      <c r="DA21" s="1892"/>
      <c r="DB21" s="1892"/>
      <c r="DC21" s="1892"/>
      <c r="DD21" s="1892"/>
      <c r="DE21" s="1892"/>
      <c r="DF21" s="1892"/>
      <c r="DG21" s="1892"/>
      <c r="DH21" s="1892"/>
      <c r="DI21" s="1892"/>
      <c r="DJ21" s="1892"/>
      <c r="DK21" s="1892"/>
      <c r="DL21" s="1892"/>
      <c r="DM21" s="1892"/>
      <c r="DN21" s="1892"/>
      <c r="DO21" s="1892"/>
      <c r="DP21" s="1892"/>
      <c r="DQ21" s="1892"/>
      <c r="DR21" s="1892"/>
      <c r="DS21" s="1892"/>
      <c r="DT21" s="1892"/>
      <c r="DU21" s="1892"/>
      <c r="DV21" s="1892"/>
      <c r="DW21" s="1892"/>
      <c r="DX21" s="1892"/>
      <c r="DY21" s="1892"/>
      <c r="DZ21" s="1892"/>
      <c r="EA21" s="1892"/>
      <c r="EB21" s="1892"/>
      <c r="EC21" s="1892"/>
      <c r="ED21" s="1892"/>
      <c r="EE21" s="1892"/>
      <c r="EF21" s="1892"/>
      <c r="EG21" s="1892"/>
      <c r="EH21" s="1892"/>
      <c r="EI21" s="1892"/>
      <c r="EJ21" s="1892"/>
      <c r="EK21" s="1892"/>
      <c r="EL21" s="1892"/>
      <c r="EM21" s="14447"/>
      <c r="EN21" s="14447"/>
      <c r="EO21" s="14447"/>
      <c r="EP21" s="14447"/>
      <c r="EQ21" s="14447"/>
      <c r="ER21" s="14447"/>
      <c r="ES21" s="14447"/>
      <c r="ET21" s="14447"/>
      <c r="EU21" s="14447"/>
      <c r="EV21" s="14447"/>
      <c r="EW21" s="14447"/>
    </row>
    <row r="22" spans="1:160" ht="14.25" hidden="1" customHeight="1">
      <c r="O22" s="1241"/>
      <c r="AR22" s="1892"/>
      <c r="AS22" s="1892"/>
      <c r="AT22" s="1892"/>
      <c r="AU22" s="1892"/>
      <c r="AV22" s="1892"/>
      <c r="AW22" s="1892"/>
      <c r="AX22" s="1892"/>
      <c r="AY22" s="1892"/>
      <c r="AZ22" s="1892"/>
      <c r="BA22" s="1892"/>
      <c r="BB22" s="1892"/>
      <c r="BC22" s="1892"/>
      <c r="BD22" s="1892"/>
      <c r="BE22" s="1892"/>
      <c r="BF22" s="1892"/>
      <c r="BG22" s="1892"/>
      <c r="BH22" s="1892"/>
      <c r="BI22" s="1892"/>
      <c r="BJ22" s="1892"/>
      <c r="BK22" s="1892"/>
      <c r="BL22" s="1892"/>
      <c r="BM22" s="1892"/>
      <c r="BN22" s="1892"/>
      <c r="BO22" s="1892"/>
      <c r="BP22" s="1892"/>
      <c r="BQ22" s="1892"/>
      <c r="BR22" s="1892"/>
      <c r="BS22" s="1892"/>
      <c r="BT22" s="1892"/>
      <c r="BU22" s="1892"/>
      <c r="BV22" s="1892"/>
      <c r="BW22" s="1892"/>
      <c r="BX22" s="1892"/>
      <c r="BY22" s="1892"/>
      <c r="BZ22" s="1892"/>
      <c r="CA22" s="1892"/>
      <c r="CB22" s="1892"/>
      <c r="CC22" s="1892"/>
      <c r="CD22" s="1892"/>
      <c r="CE22" s="1892"/>
      <c r="CF22" s="1892"/>
      <c r="CG22" s="1892"/>
      <c r="CH22" s="1892"/>
      <c r="CI22" s="1892"/>
      <c r="CJ22" s="1892"/>
      <c r="CK22" s="1892"/>
      <c r="CL22" s="1892"/>
      <c r="CM22" s="1892"/>
      <c r="CN22" s="1892"/>
      <c r="CO22" s="1892"/>
      <c r="CP22" s="1892"/>
      <c r="CQ22" s="1892"/>
      <c r="CR22" s="1892"/>
      <c r="CS22" s="1892"/>
      <c r="CT22" s="1892"/>
      <c r="CU22" s="1892"/>
      <c r="CV22" s="1892"/>
      <c r="CW22" s="1892"/>
      <c r="CX22" s="1892"/>
      <c r="CY22" s="1892"/>
      <c r="CZ22" s="1892"/>
      <c r="DA22" s="1892"/>
      <c r="DB22" s="1892"/>
      <c r="DC22" s="1892"/>
      <c r="DD22" s="1892"/>
      <c r="DE22" s="1892"/>
      <c r="DF22" s="1892"/>
      <c r="DG22" s="1892"/>
      <c r="DH22" s="1892"/>
      <c r="DI22" s="1892"/>
      <c r="DJ22" s="1892"/>
      <c r="DK22" s="1892"/>
      <c r="DL22" s="1892"/>
      <c r="DM22" s="1892"/>
      <c r="DN22" s="1892"/>
      <c r="DO22" s="1892"/>
      <c r="DP22" s="1892"/>
      <c r="DQ22" s="1892"/>
      <c r="DR22" s="1892"/>
      <c r="DS22" s="1892"/>
      <c r="DT22" s="1892"/>
      <c r="DU22" s="1892"/>
      <c r="DV22" s="1892"/>
      <c r="DW22" s="1892"/>
      <c r="DX22" s="1892"/>
      <c r="DY22" s="1892"/>
      <c r="DZ22" s="1892"/>
      <c r="EA22" s="1892"/>
      <c r="EB22" s="1892"/>
      <c r="EC22" s="1892"/>
      <c r="ED22" s="1892"/>
      <c r="EE22" s="1892"/>
      <c r="EF22" s="1892"/>
      <c r="EG22" s="1892"/>
      <c r="EH22" s="1892"/>
      <c r="EI22" s="1892"/>
      <c r="EJ22" s="1892"/>
      <c r="EK22" s="1892"/>
      <c r="EL22" s="1892"/>
      <c r="EM22" s="14447"/>
      <c r="EN22" s="14447"/>
      <c r="EO22" s="14447"/>
      <c r="EP22" s="14447"/>
      <c r="EQ22" s="14447"/>
      <c r="ER22" s="14447"/>
      <c r="ES22" s="14447"/>
      <c r="ET22" s="14447"/>
      <c r="EU22" s="14447"/>
      <c r="EV22" s="14447"/>
      <c r="EW22" s="14447"/>
    </row>
    <row r="23" spans="1:160" ht="14.25" customHeight="1">
      <c r="Q23" s="291"/>
      <c r="R23" s="291"/>
      <c r="S23" s="1157"/>
      <c r="T23" s="279"/>
      <c r="U23" s="279"/>
      <c r="V23" s="416"/>
      <c r="W23" s="1498"/>
      <c r="X23" s="1498"/>
      <c r="Y23" s="1498"/>
      <c r="Z23" s="1498"/>
      <c r="AA23" s="1498"/>
      <c r="AB23" s="1498"/>
      <c r="AC23" s="416"/>
      <c r="AD23" s="416"/>
      <c r="AE23" s="416"/>
      <c r="AF23" s="416"/>
      <c r="AG23" s="416"/>
      <c r="AH23" s="1498"/>
      <c r="AI23" s="1498"/>
      <c r="AJ23" s="1498"/>
      <c r="AK23" s="1498"/>
      <c r="AL23" s="1498"/>
      <c r="AM23" s="416"/>
      <c r="AN23" s="416"/>
      <c r="AO23" s="416"/>
      <c r="AP23" s="416"/>
      <c r="AQ23" s="416"/>
      <c r="AR23" s="1892"/>
      <c r="AS23" s="1892"/>
      <c r="AT23" s="1892"/>
      <c r="AU23" s="1892"/>
      <c r="AV23" s="1892"/>
      <c r="AW23" s="1892"/>
      <c r="AX23" s="1892"/>
      <c r="AY23" s="1892"/>
      <c r="AZ23" s="1892"/>
      <c r="BA23" s="1892"/>
      <c r="BB23" s="1892"/>
      <c r="BC23" s="1892"/>
      <c r="BD23" s="1892"/>
      <c r="BE23" s="1892"/>
      <c r="BF23" s="1892"/>
      <c r="BG23" s="1892"/>
      <c r="BH23" s="1892"/>
      <c r="BI23" s="1892"/>
      <c r="BJ23" s="1892"/>
      <c r="BK23" s="1892"/>
      <c r="BL23" s="1892"/>
      <c r="BM23" s="1892"/>
      <c r="BN23" s="1892"/>
      <c r="BO23" s="1892"/>
      <c r="BP23" s="1892"/>
      <c r="BQ23" s="1892"/>
      <c r="BR23" s="1892"/>
      <c r="BS23" s="1892"/>
      <c r="BT23" s="1892"/>
      <c r="BU23" s="1892"/>
      <c r="BV23" s="1892"/>
      <c r="BW23" s="1892"/>
      <c r="BX23" s="1892"/>
      <c r="BY23" s="1892"/>
      <c r="BZ23" s="1892"/>
      <c r="CA23" s="1892"/>
      <c r="CB23" s="1892"/>
      <c r="CC23" s="1892"/>
      <c r="CD23" s="1892"/>
      <c r="CE23" s="1892"/>
      <c r="CF23" s="1892"/>
      <c r="CG23" s="1892"/>
      <c r="CH23" s="1892"/>
      <c r="CI23" s="1892"/>
      <c r="CJ23" s="1892"/>
      <c r="CK23" s="1892"/>
      <c r="CL23" s="1892"/>
      <c r="CM23" s="1892"/>
      <c r="CN23" s="1892"/>
      <c r="CO23" s="1892"/>
      <c r="CP23" s="1892"/>
      <c r="CQ23" s="1892"/>
      <c r="CR23" s="1892"/>
      <c r="CS23" s="1892"/>
      <c r="CT23" s="1892"/>
      <c r="CU23" s="1892"/>
      <c r="CV23" s="1892"/>
      <c r="CW23" s="1892"/>
      <c r="CX23" s="1892"/>
      <c r="CY23" s="1892"/>
      <c r="CZ23" s="1892"/>
      <c r="DA23" s="1892"/>
      <c r="DB23" s="1892"/>
      <c r="DC23" s="1892"/>
      <c r="DD23" s="1892"/>
      <c r="DE23" s="1892"/>
      <c r="DF23" s="1892"/>
      <c r="DG23" s="1892"/>
      <c r="DH23" s="1892"/>
      <c r="DI23" s="1892"/>
      <c r="DJ23" s="1892"/>
      <c r="DK23" s="1892"/>
      <c r="DL23" s="1892"/>
      <c r="DM23" s="1892"/>
      <c r="DN23" s="1892"/>
      <c r="DO23" s="1892"/>
      <c r="DP23" s="1892"/>
      <c r="DQ23" s="1892"/>
      <c r="DR23" s="1892"/>
      <c r="DS23" s="1892"/>
      <c r="DT23" s="1892"/>
      <c r="DU23" s="1892"/>
      <c r="DV23" s="1892"/>
      <c r="DW23" s="1892"/>
      <c r="DX23" s="1892"/>
      <c r="DY23" s="1892"/>
      <c r="DZ23" s="1892"/>
      <c r="EA23" s="1892"/>
      <c r="EB23" s="1892"/>
      <c r="EC23" s="1892"/>
      <c r="ED23" s="1892"/>
      <c r="EE23" s="1892"/>
      <c r="EF23" s="1892"/>
      <c r="EG23" s="1892"/>
      <c r="EH23" s="1892"/>
      <c r="EI23" s="1892"/>
      <c r="EJ23" s="1892"/>
      <c r="EK23" s="1892"/>
      <c r="EL23" s="1892"/>
      <c r="EM23" s="14447"/>
      <c r="EN23" s="14447"/>
      <c r="EO23" s="14447"/>
      <c r="EP23" s="14447"/>
      <c r="EQ23" s="14447"/>
      <c r="ER23" s="14447"/>
      <c r="ES23" s="14447"/>
      <c r="ET23" s="14447"/>
      <c r="EU23" s="14447"/>
      <c r="EV23" s="14447"/>
      <c r="EW23" s="14447"/>
    </row>
    <row r="24" spans="1:160" ht="24.75" customHeight="1">
      <c r="Q24" s="291"/>
      <c r="R24" s="291"/>
      <c r="S24" s="1610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6108"/>
      <c r="U24" s="16108"/>
      <c r="V24" s="16108"/>
      <c r="W24" s="16108"/>
      <c r="X24" s="16108"/>
      <c r="Y24" s="16108"/>
      <c r="Z24" s="16108"/>
      <c r="AA24" s="16108"/>
      <c r="AB24" s="16108"/>
      <c r="AC24" s="16108"/>
      <c r="AD24" s="16108"/>
      <c r="AE24" s="16108"/>
      <c r="AF24" s="16108"/>
      <c r="AG24" s="16108"/>
      <c r="AH24" s="16108"/>
      <c r="AI24" s="16108"/>
      <c r="AJ24" s="16108"/>
      <c r="AK24" s="16108"/>
      <c r="AL24" s="16108"/>
      <c r="AM24" s="16108"/>
      <c r="AN24" s="16108"/>
      <c r="AO24" s="16108"/>
      <c r="AP24" s="16108"/>
      <c r="AQ24" s="1125"/>
      <c r="AR24" s="2196"/>
      <c r="AS24" s="2196"/>
      <c r="AT24" s="2196"/>
      <c r="AU24" s="2196"/>
      <c r="AV24" s="2196"/>
      <c r="AW24" s="2196"/>
      <c r="AX24" s="2196"/>
      <c r="AY24" s="2196"/>
      <c r="AZ24" s="2196"/>
      <c r="BA24" s="2196"/>
      <c r="BB24" s="2196"/>
      <c r="BC24" s="2196"/>
      <c r="BD24" s="2196"/>
      <c r="BE24" s="2196"/>
      <c r="BF24" s="2196"/>
      <c r="BG24" s="2196"/>
      <c r="BH24" s="2196"/>
      <c r="BI24" s="2196"/>
      <c r="BJ24" s="2196"/>
      <c r="BK24" s="2196"/>
      <c r="BL24" s="2196"/>
      <c r="BM24" s="2196"/>
      <c r="BN24" s="2196"/>
      <c r="BO24" s="2196"/>
      <c r="BP24" s="2196"/>
      <c r="BQ24" s="2196"/>
      <c r="BR24" s="2196"/>
      <c r="BS24" s="2196"/>
      <c r="BT24" s="2196"/>
      <c r="BU24" s="2196"/>
      <c r="BV24" s="2196"/>
      <c r="BW24" s="2196"/>
      <c r="BX24" s="2196"/>
      <c r="BY24" s="2196"/>
      <c r="BZ24" s="2196"/>
      <c r="CA24" s="2196"/>
      <c r="CB24" s="2196"/>
      <c r="CC24" s="2196"/>
      <c r="CD24" s="2196"/>
      <c r="CE24" s="2196"/>
      <c r="CF24" s="2196"/>
      <c r="CG24" s="2196"/>
      <c r="CH24" s="2196"/>
      <c r="CI24" s="2196"/>
      <c r="CJ24" s="2196"/>
      <c r="CK24" s="2196"/>
      <c r="CL24" s="2196"/>
      <c r="CM24" s="2196"/>
      <c r="CN24" s="2196"/>
      <c r="CO24" s="2196"/>
      <c r="CP24" s="2196"/>
      <c r="CQ24" s="2196"/>
      <c r="CR24" s="2196"/>
      <c r="CS24" s="2196"/>
      <c r="CT24" s="2196"/>
      <c r="CU24" s="2196"/>
      <c r="CV24" s="2196"/>
      <c r="CW24" s="2196"/>
      <c r="CX24" s="2196"/>
      <c r="CY24" s="2196"/>
      <c r="CZ24" s="2196"/>
      <c r="DA24" s="2196"/>
      <c r="DB24" s="2196"/>
      <c r="DC24" s="2196"/>
      <c r="DD24" s="2196"/>
      <c r="DE24" s="2196"/>
      <c r="DF24" s="2196"/>
      <c r="DG24" s="2196"/>
      <c r="DH24" s="2196"/>
      <c r="DI24" s="2196"/>
      <c r="DJ24" s="2196"/>
      <c r="DK24" s="2196"/>
      <c r="DL24" s="2196"/>
      <c r="DM24" s="2196"/>
      <c r="DN24" s="2196"/>
      <c r="DO24" s="2196"/>
      <c r="DP24" s="2196"/>
      <c r="DQ24" s="2196"/>
      <c r="DR24" s="2196"/>
      <c r="DS24" s="2196"/>
      <c r="DT24" s="2196"/>
      <c r="DU24" s="2196"/>
      <c r="DV24" s="2196"/>
      <c r="DW24" s="2196"/>
      <c r="DX24" s="2196"/>
      <c r="DY24" s="2196"/>
      <c r="DZ24" s="2196"/>
      <c r="EA24" s="2196"/>
      <c r="EB24" s="2196"/>
      <c r="EC24" s="2196"/>
      <c r="ED24" s="2196"/>
      <c r="EE24" s="2196"/>
      <c r="EF24" s="2196"/>
      <c r="EG24" s="2196"/>
      <c r="EH24" s="2196"/>
      <c r="EI24" s="2196"/>
      <c r="EJ24" s="2196"/>
      <c r="EK24" s="2196"/>
      <c r="EL24" s="2196"/>
      <c r="EM24" s="14487"/>
      <c r="EN24" s="14487"/>
      <c r="EO24" s="14487"/>
      <c r="EP24" s="14487"/>
      <c r="EQ24" s="14487"/>
      <c r="ER24" s="14487"/>
      <c r="ES24" s="14487"/>
      <c r="ET24" s="14487"/>
      <c r="EU24" s="14487"/>
      <c r="EV24" s="14487"/>
      <c r="EW24" s="14487"/>
    </row>
    <row r="25" spans="1:160" ht="14.25" customHeight="1">
      <c r="Q25" s="291"/>
      <c r="R25" s="291"/>
      <c r="S25" s="16056" t="str">
        <f>IF(org=0,"Не определено",org)</f>
        <v>АО "Мурманэнергосбыт"</v>
      </c>
      <c r="T25" s="16056"/>
      <c r="U25" s="16056"/>
      <c r="V25" s="16056"/>
      <c r="W25" s="16056"/>
      <c r="X25" s="16056"/>
      <c r="Y25" s="16056"/>
      <c r="Z25" s="16056"/>
      <c r="AA25" s="16056"/>
      <c r="AB25" s="16056"/>
      <c r="AC25" s="16056"/>
      <c r="AD25" s="16056"/>
      <c r="AE25" s="16056"/>
      <c r="AF25" s="16056"/>
      <c r="AG25" s="16056"/>
      <c r="AH25" s="16056"/>
      <c r="AI25" s="16056"/>
      <c r="AJ25" s="16056"/>
      <c r="AK25" s="16056"/>
      <c r="AL25" s="16056"/>
      <c r="AM25" s="16056"/>
      <c r="AN25" s="16056"/>
      <c r="AO25" s="16056"/>
      <c r="AP25" s="16056"/>
      <c r="AQ25" s="1125"/>
      <c r="AR25" s="2197"/>
      <c r="AS25" s="2197"/>
      <c r="AT25" s="2197"/>
      <c r="AU25" s="2197"/>
      <c r="AV25" s="2197"/>
      <c r="AW25" s="2197"/>
      <c r="AX25" s="2197"/>
      <c r="AY25" s="2197"/>
      <c r="AZ25" s="2197"/>
      <c r="BA25" s="2197"/>
      <c r="BB25" s="2197"/>
      <c r="BC25" s="2197"/>
      <c r="BD25" s="2197"/>
      <c r="BE25" s="2197"/>
      <c r="BF25" s="2197"/>
      <c r="BG25" s="2197"/>
      <c r="BH25" s="2197"/>
      <c r="BI25" s="2197"/>
      <c r="BJ25" s="2197"/>
      <c r="BK25" s="2197"/>
      <c r="BL25" s="2197"/>
      <c r="BM25" s="2197"/>
      <c r="BN25" s="2197"/>
      <c r="BO25" s="2197"/>
      <c r="BP25" s="2197"/>
      <c r="BQ25" s="2197"/>
      <c r="BR25" s="2197"/>
      <c r="BS25" s="2197"/>
      <c r="BT25" s="2197"/>
      <c r="BU25" s="2197"/>
      <c r="BV25" s="2197"/>
      <c r="BW25" s="2197"/>
      <c r="BX25" s="2197"/>
      <c r="BY25" s="2197"/>
      <c r="BZ25" s="2197"/>
      <c r="CA25" s="2197"/>
      <c r="CB25" s="2197"/>
      <c r="CC25" s="2197"/>
      <c r="CD25" s="2197"/>
      <c r="CE25" s="2197"/>
      <c r="CF25" s="2197"/>
      <c r="CG25" s="2197"/>
      <c r="CH25" s="2197"/>
      <c r="CI25" s="2197"/>
      <c r="CJ25" s="2197"/>
      <c r="CK25" s="2197"/>
      <c r="CL25" s="2197"/>
      <c r="CM25" s="2197"/>
      <c r="CN25" s="2197"/>
      <c r="CO25" s="2197"/>
      <c r="CP25" s="2197"/>
      <c r="CQ25" s="2197"/>
      <c r="CR25" s="2197"/>
      <c r="CS25" s="2197"/>
      <c r="CT25" s="2197"/>
      <c r="CU25" s="2197"/>
      <c r="CV25" s="2197"/>
      <c r="CW25" s="2197"/>
      <c r="CX25" s="2197"/>
      <c r="CY25" s="2197"/>
      <c r="CZ25" s="2197"/>
      <c r="DA25" s="2197"/>
      <c r="DB25" s="2197"/>
      <c r="DC25" s="2197"/>
      <c r="DD25" s="2197"/>
      <c r="DE25" s="2197"/>
      <c r="DF25" s="2197"/>
      <c r="DG25" s="2197"/>
      <c r="DH25" s="2197"/>
      <c r="DI25" s="2197"/>
      <c r="DJ25" s="2197"/>
      <c r="DK25" s="2197"/>
      <c r="DL25" s="2197"/>
      <c r="DM25" s="2197"/>
      <c r="DN25" s="2197"/>
      <c r="DO25" s="2197"/>
      <c r="DP25" s="2197"/>
      <c r="DQ25" s="2197"/>
      <c r="DR25" s="2197"/>
      <c r="DS25" s="2197"/>
      <c r="DT25" s="2197"/>
      <c r="DU25" s="2197"/>
      <c r="DV25" s="2197"/>
      <c r="DW25" s="2197"/>
      <c r="DX25" s="2197"/>
      <c r="DY25" s="2197"/>
      <c r="DZ25" s="2197"/>
      <c r="EA25" s="2197"/>
      <c r="EB25" s="2197"/>
      <c r="EC25" s="2197"/>
      <c r="ED25" s="2197"/>
      <c r="EE25" s="2197"/>
      <c r="EF25" s="2197"/>
      <c r="EG25" s="2197"/>
      <c r="EH25" s="2197"/>
      <c r="EI25" s="2197"/>
      <c r="EJ25" s="2197"/>
      <c r="EK25" s="2197"/>
      <c r="EL25" s="2197"/>
      <c r="EM25" s="14488"/>
      <c r="EN25" s="14488"/>
      <c r="EO25" s="14488"/>
      <c r="EP25" s="14488"/>
      <c r="EQ25" s="14488"/>
      <c r="ER25" s="14488"/>
      <c r="ES25" s="14488"/>
      <c r="ET25" s="14488"/>
      <c r="EU25" s="14488"/>
      <c r="EV25" s="14488"/>
      <c r="EW25" s="14488"/>
    </row>
    <row r="26" spans="1:160" ht="14.25" customHeight="1">
      <c r="Q26" s="291"/>
      <c r="R26" s="291"/>
      <c r="S26" s="1157"/>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198"/>
      <c r="AS26" s="2198"/>
      <c r="AT26" s="2198"/>
      <c r="AU26" s="2198"/>
      <c r="AV26" s="2198"/>
      <c r="AW26" s="2198"/>
      <c r="AX26" s="2198"/>
      <c r="AY26" s="2198"/>
      <c r="AZ26" s="2198"/>
      <c r="BA26" s="2198"/>
      <c r="BB26" s="2198"/>
      <c r="BC26" s="2198"/>
      <c r="BD26" s="2198"/>
      <c r="BE26" s="2198"/>
      <c r="BF26" s="2198"/>
      <c r="BG26" s="2198"/>
      <c r="BH26" s="2198"/>
      <c r="BI26" s="2198"/>
      <c r="BJ26" s="2198"/>
      <c r="BK26" s="2198"/>
      <c r="BL26" s="2198"/>
      <c r="BM26" s="2198"/>
      <c r="BN26" s="2198"/>
      <c r="BO26" s="2198"/>
      <c r="BP26" s="2198"/>
      <c r="BQ26" s="2198"/>
      <c r="BR26" s="2198"/>
      <c r="BS26" s="2198"/>
      <c r="BT26" s="2198"/>
      <c r="BU26" s="2198"/>
      <c r="BV26" s="2198"/>
      <c r="BW26" s="2198"/>
      <c r="BX26" s="2198"/>
      <c r="BY26" s="2198"/>
      <c r="BZ26" s="2198"/>
      <c r="CA26" s="2198"/>
      <c r="CB26" s="2198"/>
      <c r="CC26" s="2198"/>
      <c r="CD26" s="2198"/>
      <c r="CE26" s="2198"/>
      <c r="CF26" s="2198"/>
      <c r="CG26" s="2198"/>
      <c r="CH26" s="2198"/>
      <c r="CI26" s="2198"/>
      <c r="CJ26" s="2198"/>
      <c r="CK26" s="2198"/>
      <c r="CL26" s="2198"/>
      <c r="CM26" s="2198"/>
      <c r="CN26" s="2198"/>
      <c r="CO26" s="2198"/>
      <c r="CP26" s="2198"/>
      <c r="CQ26" s="2198"/>
      <c r="CR26" s="2198"/>
      <c r="CS26" s="2198"/>
      <c r="CT26" s="2198"/>
      <c r="CU26" s="2198"/>
      <c r="CV26" s="2198"/>
      <c r="CW26" s="2198"/>
      <c r="CX26" s="2198"/>
      <c r="CY26" s="2198"/>
      <c r="CZ26" s="2198"/>
      <c r="DA26" s="2198"/>
      <c r="DB26" s="2198"/>
      <c r="DC26" s="2198"/>
      <c r="DD26" s="2198"/>
      <c r="DE26" s="2198"/>
      <c r="DF26" s="2198"/>
      <c r="DG26" s="2198"/>
      <c r="DH26" s="2198"/>
      <c r="DI26" s="2198"/>
      <c r="DJ26" s="2198"/>
      <c r="DK26" s="2198"/>
      <c r="DL26" s="2198"/>
      <c r="DM26" s="2198"/>
      <c r="DN26" s="2198"/>
      <c r="DO26" s="2198"/>
      <c r="DP26" s="2198"/>
      <c r="DQ26" s="2198"/>
      <c r="DR26" s="2198"/>
      <c r="DS26" s="2198"/>
      <c r="DT26" s="2198"/>
      <c r="DU26" s="2198"/>
      <c r="DV26" s="2198"/>
      <c r="DW26" s="2198"/>
      <c r="DX26" s="2198"/>
      <c r="DY26" s="2198"/>
      <c r="DZ26" s="2198"/>
      <c r="EA26" s="2198"/>
      <c r="EB26" s="2198"/>
      <c r="EC26" s="2198"/>
      <c r="ED26" s="2198"/>
      <c r="EE26" s="2198"/>
      <c r="EF26" s="2198"/>
      <c r="EG26" s="2198"/>
      <c r="EH26" s="2198"/>
      <c r="EI26" s="2198"/>
      <c r="EJ26" s="2198"/>
      <c r="EK26" s="2198"/>
      <c r="EL26" s="2198"/>
      <c r="EM26" s="14489"/>
      <c r="EN26" s="14489"/>
      <c r="EO26" s="14489"/>
      <c r="EP26" s="14489"/>
      <c r="EQ26" s="14489"/>
      <c r="ER26" s="14489"/>
      <c r="ES26" s="14489"/>
      <c r="ET26" s="14489"/>
      <c r="EU26" s="14489"/>
      <c r="EV26" s="14489"/>
      <c r="EW26" s="14489"/>
      <c r="EX26" s="416"/>
    </row>
    <row r="27" spans="1:160" s="14420" customFormat="1" ht="25.5" customHeight="1">
      <c r="A27" s="1245"/>
      <c r="B27" s="1245"/>
      <c r="C27" s="1245"/>
      <c r="D27" s="1245"/>
      <c r="E27" s="1245"/>
      <c r="F27" s="1245"/>
      <c r="G27" s="1245"/>
      <c r="H27" s="1245"/>
      <c r="I27" s="1245"/>
      <c r="J27" s="1245"/>
      <c r="K27" s="1245"/>
      <c r="L27" s="1246"/>
      <c r="M27" s="1245"/>
      <c r="N27" s="1245"/>
      <c r="O27" s="1245"/>
      <c r="S27" s="16116" t="s">
        <v>38</v>
      </c>
      <c r="T27" s="16116"/>
      <c r="U27" s="1249"/>
      <c r="V27" s="16117" t="str">
        <f>IF(TITLE_NAME_OR_PR_CHANGE="",IF(TITLE_NAME_OR_PR="","",TITLE_NAME_OR_PR),TITLE_NAME_OR_PR_CHANGE)</f>
        <v>Комитет по тарифному регулированию Мурманской области</v>
      </c>
      <c r="W27" s="16117"/>
      <c r="X27" s="16117"/>
      <c r="Y27" s="16117"/>
      <c r="Z27" s="16117"/>
      <c r="AA27" s="16117"/>
      <c r="AB27" s="16117"/>
      <c r="AC27" s="16117"/>
      <c r="AD27" s="16117"/>
      <c r="AE27" s="16117"/>
      <c r="AF27" s="243"/>
      <c r="AG27" s="16117" t="str">
        <f>IF(TITLE_NAME_OR_PR_CHANGE="",IF(TITLE_NAME_OR_PR="","",TITLE_NAME_OR_PR),TITLE_NAME_OR_PR_CHANGE)</f>
        <v>Комитет по тарифному регулированию Мурманской области</v>
      </c>
      <c r="AH27" s="16117"/>
      <c r="AI27" s="16117"/>
      <c r="AJ27" s="16117"/>
      <c r="AK27" s="16117"/>
      <c r="AL27" s="16117"/>
      <c r="AM27" s="16117"/>
      <c r="AN27" s="16117"/>
      <c r="AO27" s="16117"/>
      <c r="AP27" s="16117"/>
      <c r="AQ27" s="243"/>
      <c r="AR27" s="16117" t="str">
        <f>IF(TITLE_NAME_OR_PR_CHANGE="",IF(TITLE_NAME_OR_PR="","",TITLE_NAME_OR_PR),TITLE_NAME_OR_PR_CHANGE)</f>
        <v>Комитет по тарифному регулированию Мурманской области</v>
      </c>
      <c r="AS27" s="16117"/>
      <c r="AT27" s="16117"/>
      <c r="AU27" s="16117"/>
      <c r="AV27" s="16117"/>
      <c r="AW27" s="16117"/>
      <c r="AX27" s="16117"/>
      <c r="AY27" s="16117"/>
      <c r="AZ27" s="16117"/>
      <c r="BA27" s="16117"/>
      <c r="BB27" s="1892"/>
      <c r="BC27" s="16117" t="str">
        <f>IF(TITLE_NAME_OR_PR_CHANGE="",IF(TITLE_NAME_OR_PR="","",TITLE_NAME_OR_PR),TITLE_NAME_OR_PR_CHANGE)</f>
        <v>Комитет по тарифному регулированию Мурманской области</v>
      </c>
      <c r="BD27" s="16117"/>
      <c r="BE27" s="16117"/>
      <c r="BF27" s="16117"/>
      <c r="BG27" s="16117"/>
      <c r="BH27" s="16117"/>
      <c r="BI27" s="16117"/>
      <c r="BJ27" s="16117"/>
      <c r="BK27" s="16117"/>
      <c r="BL27" s="16117"/>
      <c r="BM27" s="1892"/>
      <c r="BN27" s="16117" t="str">
        <f>IF(TITLE_NAME_OR_PR_CHANGE="",IF(TITLE_NAME_OR_PR="","",TITLE_NAME_OR_PR),TITLE_NAME_OR_PR_CHANGE)</f>
        <v>Комитет по тарифному регулированию Мурманской области</v>
      </c>
      <c r="BO27" s="16117"/>
      <c r="BP27" s="16117"/>
      <c r="BQ27" s="16117"/>
      <c r="BR27" s="16117"/>
      <c r="BS27" s="16117"/>
      <c r="BT27" s="16117"/>
      <c r="BU27" s="16117"/>
      <c r="BV27" s="16117"/>
      <c r="BW27" s="16117"/>
      <c r="BX27" s="1892"/>
      <c r="BY27" s="16117" t="str">
        <f>IF(TITLE_NAME_OR_PR_CHANGE="",IF(TITLE_NAME_OR_PR="","",TITLE_NAME_OR_PR),TITLE_NAME_OR_PR_CHANGE)</f>
        <v>Комитет по тарифному регулированию Мурманской области</v>
      </c>
      <c r="BZ27" s="16117"/>
      <c r="CA27" s="16117"/>
      <c r="CB27" s="16117"/>
      <c r="CC27" s="16117"/>
      <c r="CD27" s="16117"/>
      <c r="CE27" s="16117"/>
      <c r="CF27" s="16117"/>
      <c r="CG27" s="16117"/>
      <c r="CH27" s="16117"/>
      <c r="CI27" s="1892"/>
      <c r="CJ27" s="16117" t="str">
        <f>IF(TITLE_NAME_OR_PR_CHANGE="",IF(TITLE_NAME_OR_PR="","",TITLE_NAME_OR_PR),TITLE_NAME_OR_PR_CHANGE)</f>
        <v>Комитет по тарифному регулированию Мурманской области</v>
      </c>
      <c r="CK27" s="16117"/>
      <c r="CL27" s="16117"/>
      <c r="CM27" s="16117"/>
      <c r="CN27" s="16117"/>
      <c r="CO27" s="16117"/>
      <c r="CP27" s="16117"/>
      <c r="CQ27" s="16117"/>
      <c r="CR27" s="16117"/>
      <c r="CS27" s="16117"/>
      <c r="CT27" s="1892"/>
      <c r="CU27" s="16117" t="str">
        <f>IF(TITLE_NAME_OR_PR_CHANGE="",IF(TITLE_NAME_OR_PR="","",TITLE_NAME_OR_PR),TITLE_NAME_OR_PR_CHANGE)</f>
        <v>Комитет по тарифному регулированию Мурманской области</v>
      </c>
      <c r="CV27" s="16117"/>
      <c r="CW27" s="16117"/>
      <c r="CX27" s="16117"/>
      <c r="CY27" s="16117"/>
      <c r="CZ27" s="16117"/>
      <c r="DA27" s="16117"/>
      <c r="DB27" s="16117"/>
      <c r="DC27" s="16117"/>
      <c r="DD27" s="16117"/>
      <c r="DE27" s="1892"/>
      <c r="DF27" s="16117" t="str">
        <f>IF(TITLE_NAME_OR_PR_CHANGE="",IF(TITLE_NAME_OR_PR="","",TITLE_NAME_OR_PR),TITLE_NAME_OR_PR_CHANGE)</f>
        <v>Комитет по тарифному регулированию Мурманской области</v>
      </c>
      <c r="DG27" s="16117"/>
      <c r="DH27" s="16117"/>
      <c r="DI27" s="16117"/>
      <c r="DJ27" s="16117"/>
      <c r="DK27" s="16117"/>
      <c r="DL27" s="16117"/>
      <c r="DM27" s="16117"/>
      <c r="DN27" s="16117"/>
      <c r="DO27" s="16117"/>
      <c r="DP27" s="1892"/>
      <c r="DQ27" s="16117" t="str">
        <f>IF(TITLE_NAME_OR_PR_CHANGE="",IF(TITLE_NAME_OR_PR="","",TITLE_NAME_OR_PR),TITLE_NAME_OR_PR_CHANGE)</f>
        <v>Комитет по тарифному регулированию Мурманской области</v>
      </c>
      <c r="DR27" s="16117"/>
      <c r="DS27" s="16117"/>
      <c r="DT27" s="16117"/>
      <c r="DU27" s="16117"/>
      <c r="DV27" s="16117"/>
      <c r="DW27" s="16117"/>
      <c r="DX27" s="16117"/>
      <c r="DY27" s="16117"/>
      <c r="DZ27" s="16117"/>
      <c r="EA27" s="1892"/>
      <c r="EB27" s="16117" t="str">
        <f>IF(TITLE_NAME_OR_PR_CHANGE="",IF(TITLE_NAME_OR_PR="","",TITLE_NAME_OR_PR),TITLE_NAME_OR_PR_CHANGE)</f>
        <v>Комитет по тарифному регулированию Мурманской области</v>
      </c>
      <c r="EC27" s="16117"/>
      <c r="ED27" s="16117"/>
      <c r="EE27" s="16117"/>
      <c r="EF27" s="16117"/>
      <c r="EG27" s="16117"/>
      <c r="EH27" s="16117"/>
      <c r="EI27" s="16117"/>
      <c r="EJ27" s="16117"/>
      <c r="EK27" s="16117"/>
      <c r="EL27" s="1892"/>
      <c r="EM27" s="16117" t="str">
        <f>IF(TITLE_NAME_OR_PR_CHANGE="",IF(TITLE_NAME_OR_PR="","",TITLE_NAME_OR_PR),TITLE_NAME_OR_PR_CHANGE)</f>
        <v>Комитет по тарифному регулированию Мурманской области</v>
      </c>
      <c r="EN27" s="16117"/>
      <c r="EO27" s="16117"/>
      <c r="EP27" s="16117"/>
      <c r="EQ27" s="16117"/>
      <c r="ER27" s="16117"/>
      <c r="ES27" s="16117"/>
      <c r="ET27" s="16117"/>
      <c r="EU27" s="16117"/>
      <c r="EV27" s="16117"/>
      <c r="EW27" s="14447"/>
      <c r="EX27" s="243"/>
      <c r="EY27" s="198"/>
      <c r="EZ27" s="283"/>
      <c r="FA27" s="283"/>
      <c r="FB27" s="283"/>
      <c r="FC27" s="283"/>
      <c r="FD27" s="283"/>
    </row>
    <row r="28" spans="1:160" s="14420" customFormat="1" ht="18.75" customHeight="1">
      <c r="A28" s="1245"/>
      <c r="B28" s="1245"/>
      <c r="C28" s="1245"/>
      <c r="D28" s="1245"/>
      <c r="E28" s="1245"/>
      <c r="F28" s="1245"/>
      <c r="G28" s="1245"/>
      <c r="H28" s="1245"/>
      <c r="I28" s="1245"/>
      <c r="J28" s="1245"/>
      <c r="K28" s="1245"/>
      <c r="L28" s="1246"/>
      <c r="M28" s="1245"/>
      <c r="N28" s="1245"/>
      <c r="O28" s="1245"/>
      <c r="S28" s="16116" t="s">
        <v>558</v>
      </c>
      <c r="T28" s="16116"/>
      <c r="U28" s="1249"/>
      <c r="V28" s="16126">
        <f>IF(TITLE_DATE_PR_CHANGE="",IF(TITLE_DATE_PR="","",TITLE_DATE_PR),TITLE_DATE_PR_CHANGE)</f>
        <v>45379</v>
      </c>
      <c r="W28" s="16126"/>
      <c r="X28" s="16126"/>
      <c r="Y28" s="16126"/>
      <c r="Z28" s="16126"/>
      <c r="AA28" s="16126"/>
      <c r="AB28" s="16126"/>
      <c r="AC28" s="16126"/>
      <c r="AD28" s="16126"/>
      <c r="AE28" s="16126"/>
      <c r="AF28" s="243"/>
      <c r="AG28" s="16126">
        <f>IF(TITLE_DATE_PR_CHANGE="",IF(TITLE_DATE_PR="","",TITLE_DATE_PR),TITLE_DATE_PR_CHANGE)</f>
        <v>45379</v>
      </c>
      <c r="AH28" s="16126"/>
      <c r="AI28" s="16126"/>
      <c r="AJ28" s="16126"/>
      <c r="AK28" s="16126"/>
      <c r="AL28" s="16126"/>
      <c r="AM28" s="16126"/>
      <c r="AN28" s="16126"/>
      <c r="AO28" s="16126"/>
      <c r="AP28" s="16126"/>
      <c r="AQ28" s="243"/>
      <c r="AR28" s="16126">
        <f>IF(TITLE_DATE_PR_CHANGE="",IF(TITLE_DATE_PR="","",TITLE_DATE_PR),TITLE_DATE_PR_CHANGE)</f>
        <v>45379</v>
      </c>
      <c r="AS28" s="16126"/>
      <c r="AT28" s="16126"/>
      <c r="AU28" s="16126"/>
      <c r="AV28" s="16126"/>
      <c r="AW28" s="16126"/>
      <c r="AX28" s="16126"/>
      <c r="AY28" s="16126"/>
      <c r="AZ28" s="16126"/>
      <c r="BA28" s="16126"/>
      <c r="BB28" s="1892"/>
      <c r="BC28" s="16126">
        <f>IF(TITLE_DATE_PR_CHANGE="",IF(TITLE_DATE_PR="","",TITLE_DATE_PR),TITLE_DATE_PR_CHANGE)</f>
        <v>45379</v>
      </c>
      <c r="BD28" s="16126"/>
      <c r="BE28" s="16126"/>
      <c r="BF28" s="16126"/>
      <c r="BG28" s="16126"/>
      <c r="BH28" s="16126"/>
      <c r="BI28" s="16126"/>
      <c r="BJ28" s="16126"/>
      <c r="BK28" s="16126"/>
      <c r="BL28" s="16126"/>
      <c r="BM28" s="1892"/>
      <c r="BN28" s="16126">
        <f>IF(TITLE_DATE_PR_CHANGE="",IF(TITLE_DATE_PR="","",TITLE_DATE_PR),TITLE_DATE_PR_CHANGE)</f>
        <v>45379</v>
      </c>
      <c r="BO28" s="16126"/>
      <c r="BP28" s="16126"/>
      <c r="BQ28" s="16126"/>
      <c r="BR28" s="16126"/>
      <c r="BS28" s="16126"/>
      <c r="BT28" s="16126"/>
      <c r="BU28" s="16126"/>
      <c r="BV28" s="16126"/>
      <c r="BW28" s="16126"/>
      <c r="BX28" s="1892"/>
      <c r="BY28" s="16126">
        <f>IF(TITLE_DATE_PR_CHANGE="",IF(TITLE_DATE_PR="","",TITLE_DATE_PR),TITLE_DATE_PR_CHANGE)</f>
        <v>45379</v>
      </c>
      <c r="BZ28" s="16126"/>
      <c r="CA28" s="16126"/>
      <c r="CB28" s="16126"/>
      <c r="CC28" s="16126"/>
      <c r="CD28" s="16126"/>
      <c r="CE28" s="16126"/>
      <c r="CF28" s="16126"/>
      <c r="CG28" s="16126"/>
      <c r="CH28" s="16126"/>
      <c r="CI28" s="1892"/>
      <c r="CJ28" s="16126">
        <f>IF(TITLE_DATE_PR_CHANGE="",IF(TITLE_DATE_PR="","",TITLE_DATE_PR),TITLE_DATE_PR_CHANGE)</f>
        <v>45379</v>
      </c>
      <c r="CK28" s="16126"/>
      <c r="CL28" s="16126"/>
      <c r="CM28" s="16126"/>
      <c r="CN28" s="16126"/>
      <c r="CO28" s="16126"/>
      <c r="CP28" s="16126"/>
      <c r="CQ28" s="16126"/>
      <c r="CR28" s="16126"/>
      <c r="CS28" s="16126"/>
      <c r="CT28" s="1892"/>
      <c r="CU28" s="16126">
        <f>IF(TITLE_DATE_PR_CHANGE="",IF(TITLE_DATE_PR="","",TITLE_DATE_PR),TITLE_DATE_PR_CHANGE)</f>
        <v>45379</v>
      </c>
      <c r="CV28" s="16126"/>
      <c r="CW28" s="16126"/>
      <c r="CX28" s="16126"/>
      <c r="CY28" s="16126"/>
      <c r="CZ28" s="16126"/>
      <c r="DA28" s="16126"/>
      <c r="DB28" s="16126"/>
      <c r="DC28" s="16126"/>
      <c r="DD28" s="16126"/>
      <c r="DE28" s="1892"/>
      <c r="DF28" s="16126">
        <f>IF(TITLE_DATE_PR_CHANGE="",IF(TITLE_DATE_PR="","",TITLE_DATE_PR),TITLE_DATE_PR_CHANGE)</f>
        <v>45379</v>
      </c>
      <c r="DG28" s="16126"/>
      <c r="DH28" s="16126"/>
      <c r="DI28" s="16126"/>
      <c r="DJ28" s="16126"/>
      <c r="DK28" s="16126"/>
      <c r="DL28" s="16126"/>
      <c r="DM28" s="16126"/>
      <c r="DN28" s="16126"/>
      <c r="DO28" s="16126"/>
      <c r="DP28" s="1892"/>
      <c r="DQ28" s="16126">
        <f>IF(TITLE_DATE_PR_CHANGE="",IF(TITLE_DATE_PR="","",TITLE_DATE_PR),TITLE_DATE_PR_CHANGE)</f>
        <v>45379</v>
      </c>
      <c r="DR28" s="16126"/>
      <c r="DS28" s="16126"/>
      <c r="DT28" s="16126"/>
      <c r="DU28" s="16126"/>
      <c r="DV28" s="16126"/>
      <c r="DW28" s="16126"/>
      <c r="DX28" s="16126"/>
      <c r="DY28" s="16126"/>
      <c r="DZ28" s="16126"/>
      <c r="EA28" s="1892"/>
      <c r="EB28" s="16126">
        <f>IF(TITLE_DATE_PR_CHANGE="",IF(TITLE_DATE_PR="","",TITLE_DATE_PR),TITLE_DATE_PR_CHANGE)</f>
        <v>45379</v>
      </c>
      <c r="EC28" s="16126"/>
      <c r="ED28" s="16126"/>
      <c r="EE28" s="16126"/>
      <c r="EF28" s="16126"/>
      <c r="EG28" s="16126"/>
      <c r="EH28" s="16126"/>
      <c r="EI28" s="16126"/>
      <c r="EJ28" s="16126"/>
      <c r="EK28" s="16126"/>
      <c r="EL28" s="1892"/>
      <c r="EM28" s="16126">
        <f>IF(TITLE_DATE_PR_CHANGE="",IF(TITLE_DATE_PR="","",TITLE_DATE_PR),TITLE_DATE_PR_CHANGE)</f>
        <v>45379</v>
      </c>
      <c r="EN28" s="16126"/>
      <c r="EO28" s="16126"/>
      <c r="EP28" s="16126"/>
      <c r="EQ28" s="16126"/>
      <c r="ER28" s="16126"/>
      <c r="ES28" s="16126"/>
      <c r="ET28" s="16126"/>
      <c r="EU28" s="16126"/>
      <c r="EV28" s="16126"/>
      <c r="EW28" s="14447"/>
      <c r="EX28" s="243"/>
      <c r="EY28" s="198"/>
      <c r="EZ28" s="283"/>
      <c r="FA28" s="283"/>
      <c r="FB28" s="283"/>
      <c r="FC28" s="283"/>
      <c r="FD28" s="283"/>
    </row>
    <row r="29" spans="1:160" s="14420" customFormat="1" ht="18.75" customHeight="1">
      <c r="A29" s="1245"/>
      <c r="B29" s="1245"/>
      <c r="C29" s="1245"/>
      <c r="D29" s="1245"/>
      <c r="E29" s="1245"/>
      <c r="F29" s="1245"/>
      <c r="G29" s="1245"/>
      <c r="H29" s="1245"/>
      <c r="I29" s="1245"/>
      <c r="J29" s="1245"/>
      <c r="K29" s="1245"/>
      <c r="L29" s="1246"/>
      <c r="M29" s="1245"/>
      <c r="N29" s="1245"/>
      <c r="O29" s="1245"/>
      <c r="S29" s="16116" t="s">
        <v>559</v>
      </c>
      <c r="T29" s="16116"/>
      <c r="U29" s="1249"/>
      <c r="V29" s="16117" t="str">
        <f>IF(TITLE_NUMBER_PR_CHANGE="",IF(TITLE_NUMBER_PR="","",TITLE_NUMBER_PR),TITLE_NUMBER_PR_CHANGE)</f>
        <v>8/6</v>
      </c>
      <c r="W29" s="16117"/>
      <c r="X29" s="16117"/>
      <c r="Y29" s="16117"/>
      <c r="Z29" s="16117"/>
      <c r="AA29" s="16117"/>
      <c r="AB29" s="16117"/>
      <c r="AC29" s="16117"/>
      <c r="AD29" s="16117"/>
      <c r="AE29" s="16117"/>
      <c r="AF29" s="243"/>
      <c r="AG29" s="16117" t="str">
        <f>IF(TITLE_NUMBER_PR_CHANGE="",IF(TITLE_NUMBER_PR="","",TITLE_NUMBER_PR),TITLE_NUMBER_PR_CHANGE)</f>
        <v>8/6</v>
      </c>
      <c r="AH29" s="16117"/>
      <c r="AI29" s="16117"/>
      <c r="AJ29" s="16117"/>
      <c r="AK29" s="16117"/>
      <c r="AL29" s="16117"/>
      <c r="AM29" s="16117"/>
      <c r="AN29" s="16117"/>
      <c r="AO29" s="16117"/>
      <c r="AP29" s="16117"/>
      <c r="AQ29" s="243"/>
      <c r="AR29" s="16117" t="str">
        <f>IF(TITLE_NUMBER_PR_CHANGE="",IF(TITLE_NUMBER_PR="","",TITLE_NUMBER_PR),TITLE_NUMBER_PR_CHANGE)</f>
        <v>8/6</v>
      </c>
      <c r="AS29" s="16117"/>
      <c r="AT29" s="16117"/>
      <c r="AU29" s="16117"/>
      <c r="AV29" s="16117"/>
      <c r="AW29" s="16117"/>
      <c r="AX29" s="16117"/>
      <c r="AY29" s="16117"/>
      <c r="AZ29" s="16117"/>
      <c r="BA29" s="16117"/>
      <c r="BB29" s="1892"/>
      <c r="BC29" s="16117" t="str">
        <f>IF(TITLE_NUMBER_PR_CHANGE="",IF(TITLE_NUMBER_PR="","",TITLE_NUMBER_PR),TITLE_NUMBER_PR_CHANGE)</f>
        <v>8/6</v>
      </c>
      <c r="BD29" s="16117"/>
      <c r="BE29" s="16117"/>
      <c r="BF29" s="16117"/>
      <c r="BG29" s="16117"/>
      <c r="BH29" s="16117"/>
      <c r="BI29" s="16117"/>
      <c r="BJ29" s="16117"/>
      <c r="BK29" s="16117"/>
      <c r="BL29" s="16117"/>
      <c r="BM29" s="1892"/>
      <c r="BN29" s="16117" t="str">
        <f>IF(TITLE_NUMBER_PR_CHANGE="",IF(TITLE_NUMBER_PR="","",TITLE_NUMBER_PR),TITLE_NUMBER_PR_CHANGE)</f>
        <v>8/6</v>
      </c>
      <c r="BO29" s="16117"/>
      <c r="BP29" s="16117"/>
      <c r="BQ29" s="16117"/>
      <c r="BR29" s="16117"/>
      <c r="BS29" s="16117"/>
      <c r="BT29" s="16117"/>
      <c r="BU29" s="16117"/>
      <c r="BV29" s="16117"/>
      <c r="BW29" s="16117"/>
      <c r="BX29" s="1892"/>
      <c r="BY29" s="16117" t="str">
        <f>IF(TITLE_NUMBER_PR_CHANGE="",IF(TITLE_NUMBER_PR="","",TITLE_NUMBER_PR),TITLE_NUMBER_PR_CHANGE)</f>
        <v>8/6</v>
      </c>
      <c r="BZ29" s="16117"/>
      <c r="CA29" s="16117"/>
      <c r="CB29" s="16117"/>
      <c r="CC29" s="16117"/>
      <c r="CD29" s="16117"/>
      <c r="CE29" s="16117"/>
      <c r="CF29" s="16117"/>
      <c r="CG29" s="16117"/>
      <c r="CH29" s="16117"/>
      <c r="CI29" s="1892"/>
      <c r="CJ29" s="16117" t="str">
        <f>IF(TITLE_NUMBER_PR_CHANGE="",IF(TITLE_NUMBER_PR="","",TITLE_NUMBER_PR),TITLE_NUMBER_PR_CHANGE)</f>
        <v>8/6</v>
      </c>
      <c r="CK29" s="16117"/>
      <c r="CL29" s="16117"/>
      <c r="CM29" s="16117"/>
      <c r="CN29" s="16117"/>
      <c r="CO29" s="16117"/>
      <c r="CP29" s="16117"/>
      <c r="CQ29" s="16117"/>
      <c r="CR29" s="16117"/>
      <c r="CS29" s="16117"/>
      <c r="CT29" s="1892"/>
      <c r="CU29" s="16117" t="str">
        <f>IF(TITLE_NUMBER_PR_CHANGE="",IF(TITLE_NUMBER_PR="","",TITLE_NUMBER_PR),TITLE_NUMBER_PR_CHANGE)</f>
        <v>8/6</v>
      </c>
      <c r="CV29" s="16117"/>
      <c r="CW29" s="16117"/>
      <c r="CX29" s="16117"/>
      <c r="CY29" s="16117"/>
      <c r="CZ29" s="16117"/>
      <c r="DA29" s="16117"/>
      <c r="DB29" s="16117"/>
      <c r="DC29" s="16117"/>
      <c r="DD29" s="16117"/>
      <c r="DE29" s="1892"/>
      <c r="DF29" s="16117" t="str">
        <f>IF(TITLE_NUMBER_PR_CHANGE="",IF(TITLE_NUMBER_PR="","",TITLE_NUMBER_PR),TITLE_NUMBER_PR_CHANGE)</f>
        <v>8/6</v>
      </c>
      <c r="DG29" s="16117"/>
      <c r="DH29" s="16117"/>
      <c r="DI29" s="16117"/>
      <c r="DJ29" s="16117"/>
      <c r="DK29" s="16117"/>
      <c r="DL29" s="16117"/>
      <c r="DM29" s="16117"/>
      <c r="DN29" s="16117"/>
      <c r="DO29" s="16117"/>
      <c r="DP29" s="1892"/>
      <c r="DQ29" s="16117" t="str">
        <f>IF(TITLE_NUMBER_PR_CHANGE="",IF(TITLE_NUMBER_PR="","",TITLE_NUMBER_PR),TITLE_NUMBER_PR_CHANGE)</f>
        <v>8/6</v>
      </c>
      <c r="DR29" s="16117"/>
      <c r="DS29" s="16117"/>
      <c r="DT29" s="16117"/>
      <c r="DU29" s="16117"/>
      <c r="DV29" s="16117"/>
      <c r="DW29" s="16117"/>
      <c r="DX29" s="16117"/>
      <c r="DY29" s="16117"/>
      <c r="DZ29" s="16117"/>
      <c r="EA29" s="1892"/>
      <c r="EB29" s="16117" t="str">
        <f>IF(TITLE_NUMBER_PR_CHANGE="",IF(TITLE_NUMBER_PR="","",TITLE_NUMBER_PR),TITLE_NUMBER_PR_CHANGE)</f>
        <v>8/6</v>
      </c>
      <c r="EC29" s="16117"/>
      <c r="ED29" s="16117"/>
      <c r="EE29" s="16117"/>
      <c r="EF29" s="16117"/>
      <c r="EG29" s="16117"/>
      <c r="EH29" s="16117"/>
      <c r="EI29" s="16117"/>
      <c r="EJ29" s="16117"/>
      <c r="EK29" s="16117"/>
      <c r="EL29" s="1892"/>
      <c r="EM29" s="16117" t="str">
        <f>IF(TITLE_NUMBER_PR_CHANGE="",IF(TITLE_NUMBER_PR="","",TITLE_NUMBER_PR),TITLE_NUMBER_PR_CHANGE)</f>
        <v>8/6</v>
      </c>
      <c r="EN29" s="16117"/>
      <c r="EO29" s="16117"/>
      <c r="EP29" s="16117"/>
      <c r="EQ29" s="16117"/>
      <c r="ER29" s="16117"/>
      <c r="ES29" s="16117"/>
      <c r="ET29" s="16117"/>
      <c r="EU29" s="16117"/>
      <c r="EV29" s="16117"/>
      <c r="EW29" s="14447"/>
      <c r="EX29" s="243"/>
      <c r="EY29" s="198"/>
      <c r="EZ29" s="283"/>
      <c r="FA29" s="283"/>
      <c r="FB29" s="283"/>
      <c r="FC29" s="283"/>
      <c r="FD29" s="283"/>
    </row>
    <row r="30" spans="1:160" s="14420" customFormat="1" ht="18.75" customHeight="1">
      <c r="A30" s="1245"/>
      <c r="B30" s="1245"/>
      <c r="C30" s="1245"/>
      <c r="D30" s="1245"/>
      <c r="E30" s="1245"/>
      <c r="F30" s="1245"/>
      <c r="G30" s="1245"/>
      <c r="H30" s="1245"/>
      <c r="I30" s="1245"/>
      <c r="J30" s="1245"/>
      <c r="K30" s="1245"/>
      <c r="L30" s="1246"/>
      <c r="M30" s="1245"/>
      <c r="N30" s="1245"/>
      <c r="O30" s="1245"/>
      <c r="S30" s="16116" t="s">
        <v>40</v>
      </c>
      <c r="T30" s="16116"/>
      <c r="U30" s="1249"/>
      <c r="V30" s="16117" t="str">
        <f>IF(TITLE_IST_PUB_CHANGE="",IF(TITLE_IST_PUB="","",TITLE_IST_PUB),TITLE_IST_PUB_CHANGE)</f>
        <v>https://npa.gov-murman.ru/bitrix/components/b1team/govmurman.element.file/download.php?ID=518761&amp;FID=765125</v>
      </c>
      <c r="W30" s="16117"/>
      <c r="X30" s="16117"/>
      <c r="Y30" s="16117"/>
      <c r="Z30" s="16117"/>
      <c r="AA30" s="16117"/>
      <c r="AB30" s="16117"/>
      <c r="AC30" s="16117"/>
      <c r="AD30" s="16117"/>
      <c r="AE30" s="16117"/>
      <c r="AF30" s="243"/>
      <c r="AG30" s="16117" t="str">
        <f>IF(TITLE_IST_PUB_CHANGE="",IF(TITLE_IST_PUB="","",TITLE_IST_PUB),TITLE_IST_PUB_CHANGE)</f>
        <v>https://npa.gov-murman.ru/bitrix/components/b1team/govmurman.element.file/download.php?ID=518761&amp;FID=765125</v>
      </c>
      <c r="AH30" s="16117"/>
      <c r="AI30" s="16117"/>
      <c r="AJ30" s="16117"/>
      <c r="AK30" s="16117"/>
      <c r="AL30" s="16117"/>
      <c r="AM30" s="16117"/>
      <c r="AN30" s="16117"/>
      <c r="AO30" s="16117"/>
      <c r="AP30" s="16117"/>
      <c r="AQ30" s="243"/>
      <c r="AR30" s="16117" t="str">
        <f>IF(TITLE_IST_PUB_CHANGE="",IF(TITLE_IST_PUB="","",TITLE_IST_PUB),TITLE_IST_PUB_CHANGE)</f>
        <v>https://npa.gov-murman.ru/bitrix/components/b1team/govmurman.element.file/download.php?ID=518761&amp;FID=765125</v>
      </c>
      <c r="AS30" s="16117"/>
      <c r="AT30" s="16117"/>
      <c r="AU30" s="16117"/>
      <c r="AV30" s="16117"/>
      <c r="AW30" s="16117"/>
      <c r="AX30" s="16117"/>
      <c r="AY30" s="16117"/>
      <c r="AZ30" s="16117"/>
      <c r="BA30" s="16117"/>
      <c r="BB30" s="1892"/>
      <c r="BC30" s="16117" t="str">
        <f>IF(TITLE_IST_PUB_CHANGE="",IF(TITLE_IST_PUB="","",TITLE_IST_PUB),TITLE_IST_PUB_CHANGE)</f>
        <v>https://npa.gov-murman.ru/bitrix/components/b1team/govmurman.element.file/download.php?ID=518761&amp;FID=765125</v>
      </c>
      <c r="BD30" s="16117"/>
      <c r="BE30" s="16117"/>
      <c r="BF30" s="16117"/>
      <c r="BG30" s="16117"/>
      <c r="BH30" s="16117"/>
      <c r="BI30" s="16117"/>
      <c r="BJ30" s="16117"/>
      <c r="BK30" s="16117"/>
      <c r="BL30" s="16117"/>
      <c r="BM30" s="1892"/>
      <c r="BN30" s="16117" t="str">
        <f>IF(TITLE_IST_PUB_CHANGE="",IF(TITLE_IST_PUB="","",TITLE_IST_PUB),TITLE_IST_PUB_CHANGE)</f>
        <v>https://npa.gov-murman.ru/bitrix/components/b1team/govmurman.element.file/download.php?ID=518761&amp;FID=765125</v>
      </c>
      <c r="BO30" s="16117"/>
      <c r="BP30" s="16117"/>
      <c r="BQ30" s="16117"/>
      <c r="BR30" s="16117"/>
      <c r="BS30" s="16117"/>
      <c r="BT30" s="16117"/>
      <c r="BU30" s="16117"/>
      <c r="BV30" s="16117"/>
      <c r="BW30" s="16117"/>
      <c r="BX30" s="1892"/>
      <c r="BY30" s="16117" t="str">
        <f>IF(TITLE_IST_PUB_CHANGE="",IF(TITLE_IST_PUB="","",TITLE_IST_PUB),TITLE_IST_PUB_CHANGE)</f>
        <v>https://npa.gov-murman.ru/bitrix/components/b1team/govmurman.element.file/download.php?ID=518761&amp;FID=765125</v>
      </c>
      <c r="BZ30" s="16117"/>
      <c r="CA30" s="16117"/>
      <c r="CB30" s="16117"/>
      <c r="CC30" s="16117"/>
      <c r="CD30" s="16117"/>
      <c r="CE30" s="16117"/>
      <c r="CF30" s="16117"/>
      <c r="CG30" s="16117"/>
      <c r="CH30" s="16117"/>
      <c r="CI30" s="1892"/>
      <c r="CJ30" s="16117" t="str">
        <f>IF(TITLE_IST_PUB_CHANGE="",IF(TITLE_IST_PUB="","",TITLE_IST_PUB),TITLE_IST_PUB_CHANGE)</f>
        <v>https://npa.gov-murman.ru/bitrix/components/b1team/govmurman.element.file/download.php?ID=518761&amp;FID=765125</v>
      </c>
      <c r="CK30" s="16117"/>
      <c r="CL30" s="16117"/>
      <c r="CM30" s="16117"/>
      <c r="CN30" s="16117"/>
      <c r="CO30" s="16117"/>
      <c r="CP30" s="16117"/>
      <c r="CQ30" s="16117"/>
      <c r="CR30" s="16117"/>
      <c r="CS30" s="16117"/>
      <c r="CT30" s="1892"/>
      <c r="CU30" s="16117" t="str">
        <f>IF(TITLE_IST_PUB_CHANGE="",IF(TITLE_IST_PUB="","",TITLE_IST_PUB),TITLE_IST_PUB_CHANGE)</f>
        <v>https://npa.gov-murman.ru/bitrix/components/b1team/govmurman.element.file/download.php?ID=518761&amp;FID=765125</v>
      </c>
      <c r="CV30" s="16117"/>
      <c r="CW30" s="16117"/>
      <c r="CX30" s="16117"/>
      <c r="CY30" s="16117"/>
      <c r="CZ30" s="16117"/>
      <c r="DA30" s="16117"/>
      <c r="DB30" s="16117"/>
      <c r="DC30" s="16117"/>
      <c r="DD30" s="16117"/>
      <c r="DE30" s="1892"/>
      <c r="DF30" s="16117" t="str">
        <f>IF(TITLE_IST_PUB_CHANGE="",IF(TITLE_IST_PUB="","",TITLE_IST_PUB),TITLE_IST_PUB_CHANGE)</f>
        <v>https://npa.gov-murman.ru/bitrix/components/b1team/govmurman.element.file/download.php?ID=518761&amp;FID=765125</v>
      </c>
      <c r="DG30" s="16117"/>
      <c r="DH30" s="16117"/>
      <c r="DI30" s="16117"/>
      <c r="DJ30" s="16117"/>
      <c r="DK30" s="16117"/>
      <c r="DL30" s="16117"/>
      <c r="DM30" s="16117"/>
      <c r="DN30" s="16117"/>
      <c r="DO30" s="16117"/>
      <c r="DP30" s="1892"/>
      <c r="DQ30" s="16117" t="str">
        <f>IF(TITLE_IST_PUB_CHANGE="",IF(TITLE_IST_PUB="","",TITLE_IST_PUB),TITLE_IST_PUB_CHANGE)</f>
        <v>https://npa.gov-murman.ru/bitrix/components/b1team/govmurman.element.file/download.php?ID=518761&amp;FID=765125</v>
      </c>
      <c r="DR30" s="16117"/>
      <c r="DS30" s="16117"/>
      <c r="DT30" s="16117"/>
      <c r="DU30" s="16117"/>
      <c r="DV30" s="16117"/>
      <c r="DW30" s="16117"/>
      <c r="DX30" s="16117"/>
      <c r="DY30" s="16117"/>
      <c r="DZ30" s="16117"/>
      <c r="EA30" s="1892"/>
      <c r="EB30" s="16117" t="str">
        <f>IF(TITLE_IST_PUB_CHANGE="",IF(TITLE_IST_PUB="","",TITLE_IST_PUB),TITLE_IST_PUB_CHANGE)</f>
        <v>https://npa.gov-murman.ru/bitrix/components/b1team/govmurman.element.file/download.php?ID=518761&amp;FID=765125</v>
      </c>
      <c r="EC30" s="16117"/>
      <c r="ED30" s="16117"/>
      <c r="EE30" s="16117"/>
      <c r="EF30" s="16117"/>
      <c r="EG30" s="16117"/>
      <c r="EH30" s="16117"/>
      <c r="EI30" s="16117"/>
      <c r="EJ30" s="16117"/>
      <c r="EK30" s="16117"/>
      <c r="EL30" s="1892"/>
      <c r="EM30" s="16117" t="str">
        <f>IF(TITLE_IST_PUB_CHANGE="",IF(TITLE_IST_PUB="","",TITLE_IST_PUB),TITLE_IST_PUB_CHANGE)</f>
        <v>https://npa.gov-murman.ru/bitrix/components/b1team/govmurman.element.file/download.php?ID=518761&amp;FID=765125</v>
      </c>
      <c r="EN30" s="16117"/>
      <c r="EO30" s="16117"/>
      <c r="EP30" s="16117"/>
      <c r="EQ30" s="16117"/>
      <c r="ER30" s="16117"/>
      <c r="ES30" s="16117"/>
      <c r="ET30" s="16117"/>
      <c r="EU30" s="16117"/>
      <c r="EV30" s="16117"/>
      <c r="EW30" s="14447"/>
      <c r="EX30" s="243"/>
      <c r="EY30" s="198"/>
      <c r="EZ30" s="283"/>
      <c r="FA30" s="283"/>
      <c r="FB30" s="283"/>
      <c r="FC30" s="283"/>
      <c r="FD30" s="283"/>
    </row>
    <row r="31" spans="1:160" ht="14.25" hidden="1" customHeight="1">
      <c r="Q31" s="291"/>
      <c r="R31" s="291"/>
      <c r="S31" s="1157"/>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198"/>
      <c r="AS31" s="2198"/>
      <c r="AT31" s="2198"/>
      <c r="AU31" s="2198"/>
      <c r="AV31" s="2198"/>
      <c r="AW31" s="2198"/>
      <c r="AX31" s="2198"/>
      <c r="AY31" s="2198"/>
      <c r="AZ31" s="2198"/>
      <c r="BA31" s="2198"/>
      <c r="BB31" s="2198"/>
      <c r="BC31" s="2198"/>
      <c r="BD31" s="2198"/>
      <c r="BE31" s="2198"/>
      <c r="BF31" s="2198"/>
      <c r="BG31" s="2198"/>
      <c r="BH31" s="2198"/>
      <c r="BI31" s="2198"/>
      <c r="BJ31" s="2198"/>
      <c r="BK31" s="2198"/>
      <c r="BL31" s="2198"/>
      <c r="BM31" s="2198"/>
      <c r="BN31" s="2198"/>
      <c r="BO31" s="2198"/>
      <c r="BP31" s="2198"/>
      <c r="BQ31" s="2198"/>
      <c r="BR31" s="2198"/>
      <c r="BS31" s="2198"/>
      <c r="BT31" s="2198"/>
      <c r="BU31" s="2198"/>
      <c r="BV31" s="2198"/>
      <c r="BW31" s="2198"/>
      <c r="BX31" s="2198"/>
      <c r="BY31" s="2198"/>
      <c r="BZ31" s="2198"/>
      <c r="CA31" s="2198"/>
      <c r="CB31" s="2198"/>
      <c r="CC31" s="2198"/>
      <c r="CD31" s="2198"/>
      <c r="CE31" s="2198"/>
      <c r="CF31" s="2198"/>
      <c r="CG31" s="2198"/>
      <c r="CH31" s="2198"/>
      <c r="CI31" s="2198"/>
      <c r="CJ31" s="2198"/>
      <c r="CK31" s="2198"/>
      <c r="CL31" s="2198"/>
      <c r="CM31" s="2198"/>
      <c r="CN31" s="2198"/>
      <c r="CO31" s="2198"/>
      <c r="CP31" s="2198"/>
      <c r="CQ31" s="2198"/>
      <c r="CR31" s="2198"/>
      <c r="CS31" s="2198"/>
      <c r="CT31" s="2198"/>
      <c r="CU31" s="2198"/>
      <c r="CV31" s="2198"/>
      <c r="CW31" s="2198"/>
      <c r="CX31" s="2198"/>
      <c r="CY31" s="2198"/>
      <c r="CZ31" s="2198"/>
      <c r="DA31" s="2198"/>
      <c r="DB31" s="2198"/>
      <c r="DC31" s="2198"/>
      <c r="DD31" s="2198"/>
      <c r="DE31" s="2198"/>
      <c r="DF31" s="2198"/>
      <c r="DG31" s="2198"/>
      <c r="DH31" s="2198"/>
      <c r="DI31" s="2198"/>
      <c r="DJ31" s="2198"/>
      <c r="DK31" s="2198"/>
      <c r="DL31" s="2198"/>
      <c r="DM31" s="2198"/>
      <c r="DN31" s="2198"/>
      <c r="DO31" s="2198"/>
      <c r="DP31" s="2198"/>
      <c r="DQ31" s="2198"/>
      <c r="DR31" s="2198"/>
      <c r="DS31" s="2198"/>
      <c r="DT31" s="2198"/>
      <c r="DU31" s="2198"/>
      <c r="DV31" s="2198"/>
      <c r="DW31" s="2198"/>
      <c r="DX31" s="2198"/>
      <c r="DY31" s="2198"/>
      <c r="DZ31" s="2198"/>
      <c r="EA31" s="2198"/>
      <c r="EB31" s="2198"/>
      <c r="EC31" s="2198"/>
      <c r="ED31" s="2198"/>
      <c r="EE31" s="2198"/>
      <c r="EF31" s="2198"/>
      <c r="EG31" s="2198"/>
      <c r="EH31" s="2198"/>
      <c r="EI31" s="2198"/>
      <c r="EJ31" s="2198"/>
      <c r="EK31" s="2198"/>
      <c r="EL31" s="2198"/>
      <c r="EM31" s="14489"/>
      <c r="EN31" s="14489"/>
      <c r="EO31" s="14489"/>
      <c r="EP31" s="14489"/>
      <c r="EQ31" s="14489"/>
      <c r="ER31" s="14489"/>
      <c r="ES31" s="14489"/>
      <c r="ET31" s="14489"/>
      <c r="EU31" s="14489"/>
      <c r="EV31" s="14489"/>
      <c r="EW31" s="14489"/>
      <c r="EX31" s="416"/>
    </row>
    <row r="32" spans="1:160" s="14420" customFormat="1" ht="18.75" hidden="1" customHeight="1">
      <c r="A32" s="1245"/>
      <c r="B32" s="1245"/>
      <c r="C32" s="1245"/>
      <c r="D32" s="1245"/>
      <c r="E32" s="1245"/>
      <c r="F32" s="1245"/>
      <c r="G32" s="1245"/>
      <c r="H32" s="1245"/>
      <c r="I32" s="1245"/>
      <c r="J32" s="1245"/>
      <c r="K32" s="1245"/>
      <c r="L32" s="1246"/>
      <c r="M32" s="1245"/>
      <c r="N32" s="1245"/>
      <c r="O32" s="1245"/>
      <c r="S32" s="16116" t="s">
        <v>560</v>
      </c>
      <c r="T32" s="16116"/>
      <c r="U32" s="1249"/>
      <c r="V32" s="16126">
        <f>IF(TITLE_DATE_PR_CHANGE="",IF(TITLE_DATE_PR="","",TITLE_DATE_PR),TITLE_DATE_PR_CHANGE)</f>
        <v>45379</v>
      </c>
      <c r="W32" s="16126"/>
      <c r="X32" s="16126"/>
      <c r="Y32" s="16126"/>
      <c r="Z32" s="16126"/>
      <c r="AA32" s="16126"/>
      <c r="AB32" s="16126"/>
      <c r="AC32" s="16126"/>
      <c r="AD32" s="16126"/>
      <c r="AE32" s="16126"/>
      <c r="AF32" s="243"/>
      <c r="AG32" s="16126">
        <f>IF(TITLE_DATE_PR_CHANGE="",IF(TITLE_DATE_PR="","",TITLE_DATE_PR),TITLE_DATE_PR_CHANGE)</f>
        <v>45379</v>
      </c>
      <c r="AH32" s="16126"/>
      <c r="AI32" s="16126"/>
      <c r="AJ32" s="16126"/>
      <c r="AK32" s="16126"/>
      <c r="AL32" s="16126"/>
      <c r="AM32" s="16126"/>
      <c r="AN32" s="16126"/>
      <c r="AO32" s="16126"/>
      <c r="AP32" s="16126"/>
      <c r="AQ32" s="243"/>
      <c r="AR32" s="16126">
        <f>IF(TITLE_DATE_PR_CHANGE="",IF(TITLE_DATE_PR="","",TITLE_DATE_PR),TITLE_DATE_PR_CHANGE)</f>
        <v>45379</v>
      </c>
      <c r="AS32" s="16126"/>
      <c r="AT32" s="16126"/>
      <c r="AU32" s="16126"/>
      <c r="AV32" s="16126"/>
      <c r="AW32" s="16126"/>
      <c r="AX32" s="16126"/>
      <c r="AY32" s="16126"/>
      <c r="AZ32" s="16126"/>
      <c r="BA32" s="16126"/>
      <c r="BB32" s="1892"/>
      <c r="BC32" s="16126">
        <f>IF(TITLE_DATE_PR_CHANGE="",IF(TITLE_DATE_PR="","",TITLE_DATE_PR),TITLE_DATE_PR_CHANGE)</f>
        <v>45379</v>
      </c>
      <c r="BD32" s="16126"/>
      <c r="BE32" s="16126"/>
      <c r="BF32" s="16126"/>
      <c r="BG32" s="16126"/>
      <c r="BH32" s="16126"/>
      <c r="BI32" s="16126"/>
      <c r="BJ32" s="16126"/>
      <c r="BK32" s="16126"/>
      <c r="BL32" s="16126"/>
      <c r="BM32" s="1892"/>
      <c r="BN32" s="16126">
        <f>IF(TITLE_DATE_PR_CHANGE="",IF(TITLE_DATE_PR="","",TITLE_DATE_PR),TITLE_DATE_PR_CHANGE)</f>
        <v>45379</v>
      </c>
      <c r="BO32" s="16126"/>
      <c r="BP32" s="16126"/>
      <c r="BQ32" s="16126"/>
      <c r="BR32" s="16126"/>
      <c r="BS32" s="16126"/>
      <c r="BT32" s="16126"/>
      <c r="BU32" s="16126"/>
      <c r="BV32" s="16126"/>
      <c r="BW32" s="16126"/>
      <c r="BX32" s="1892"/>
      <c r="BY32" s="16126">
        <f>IF(TITLE_DATE_PR_CHANGE="",IF(TITLE_DATE_PR="","",TITLE_DATE_PR),TITLE_DATE_PR_CHANGE)</f>
        <v>45379</v>
      </c>
      <c r="BZ32" s="16126"/>
      <c r="CA32" s="16126"/>
      <c r="CB32" s="16126"/>
      <c r="CC32" s="16126"/>
      <c r="CD32" s="16126"/>
      <c r="CE32" s="16126"/>
      <c r="CF32" s="16126"/>
      <c r="CG32" s="16126"/>
      <c r="CH32" s="16126"/>
      <c r="CI32" s="1892"/>
      <c r="CJ32" s="16126">
        <f>IF(TITLE_DATE_PR_CHANGE="",IF(TITLE_DATE_PR="","",TITLE_DATE_PR),TITLE_DATE_PR_CHANGE)</f>
        <v>45379</v>
      </c>
      <c r="CK32" s="16126"/>
      <c r="CL32" s="16126"/>
      <c r="CM32" s="16126"/>
      <c r="CN32" s="16126"/>
      <c r="CO32" s="16126"/>
      <c r="CP32" s="16126"/>
      <c r="CQ32" s="16126"/>
      <c r="CR32" s="16126"/>
      <c r="CS32" s="16126"/>
      <c r="CT32" s="1892"/>
      <c r="CU32" s="16126">
        <f>IF(TITLE_DATE_PR_CHANGE="",IF(TITLE_DATE_PR="","",TITLE_DATE_PR),TITLE_DATE_PR_CHANGE)</f>
        <v>45379</v>
      </c>
      <c r="CV32" s="16126"/>
      <c r="CW32" s="16126"/>
      <c r="CX32" s="16126"/>
      <c r="CY32" s="16126"/>
      <c r="CZ32" s="16126"/>
      <c r="DA32" s="16126"/>
      <c r="DB32" s="16126"/>
      <c r="DC32" s="16126"/>
      <c r="DD32" s="16126"/>
      <c r="DE32" s="1892"/>
      <c r="DF32" s="16126">
        <f>IF(TITLE_DATE_PR_CHANGE="",IF(TITLE_DATE_PR="","",TITLE_DATE_PR),TITLE_DATE_PR_CHANGE)</f>
        <v>45379</v>
      </c>
      <c r="DG32" s="16126"/>
      <c r="DH32" s="16126"/>
      <c r="DI32" s="16126"/>
      <c r="DJ32" s="16126"/>
      <c r="DK32" s="16126"/>
      <c r="DL32" s="16126"/>
      <c r="DM32" s="16126"/>
      <c r="DN32" s="16126"/>
      <c r="DO32" s="16126"/>
      <c r="DP32" s="1892"/>
      <c r="DQ32" s="16126">
        <f>IF(TITLE_DATE_PR_CHANGE="",IF(TITLE_DATE_PR="","",TITLE_DATE_PR),TITLE_DATE_PR_CHANGE)</f>
        <v>45379</v>
      </c>
      <c r="DR32" s="16126"/>
      <c r="DS32" s="16126"/>
      <c r="DT32" s="16126"/>
      <c r="DU32" s="16126"/>
      <c r="DV32" s="16126"/>
      <c r="DW32" s="16126"/>
      <c r="DX32" s="16126"/>
      <c r="DY32" s="16126"/>
      <c r="DZ32" s="16126"/>
      <c r="EA32" s="1892"/>
      <c r="EB32" s="16126">
        <f>IF(TITLE_DATE_PR_CHANGE="",IF(TITLE_DATE_PR="","",TITLE_DATE_PR),TITLE_DATE_PR_CHANGE)</f>
        <v>45379</v>
      </c>
      <c r="EC32" s="16126"/>
      <c r="ED32" s="16126"/>
      <c r="EE32" s="16126"/>
      <c r="EF32" s="16126"/>
      <c r="EG32" s="16126"/>
      <c r="EH32" s="16126"/>
      <c r="EI32" s="16126"/>
      <c r="EJ32" s="16126"/>
      <c r="EK32" s="16126"/>
      <c r="EL32" s="1892"/>
      <c r="EM32" s="16126">
        <f>IF(TITLE_DATE_PR_CHANGE="",IF(TITLE_DATE_PR="","",TITLE_DATE_PR),TITLE_DATE_PR_CHANGE)</f>
        <v>45379</v>
      </c>
      <c r="EN32" s="16126"/>
      <c r="EO32" s="16126"/>
      <c r="EP32" s="16126"/>
      <c r="EQ32" s="16126"/>
      <c r="ER32" s="16126"/>
      <c r="ES32" s="16126"/>
      <c r="ET32" s="16126"/>
      <c r="EU32" s="16126"/>
      <c r="EV32" s="16126"/>
      <c r="EW32" s="14447"/>
      <c r="EX32" s="243"/>
      <c r="EY32" s="198"/>
      <c r="EZ32" s="283"/>
      <c r="FA32" s="283"/>
      <c r="FB32" s="283"/>
      <c r="FC32" s="283"/>
      <c r="FD32" s="283"/>
    </row>
    <row r="33" spans="1:160" s="14420" customFormat="1" ht="18.75" hidden="1" customHeight="1">
      <c r="A33" s="1245"/>
      <c r="B33" s="1245"/>
      <c r="C33" s="1245"/>
      <c r="D33" s="1245"/>
      <c r="E33" s="1245"/>
      <c r="F33" s="1245"/>
      <c r="G33" s="1245"/>
      <c r="H33" s="1245"/>
      <c r="I33" s="1245"/>
      <c r="J33" s="1245"/>
      <c r="K33" s="1245"/>
      <c r="L33" s="1246"/>
      <c r="M33" s="1245"/>
      <c r="N33" s="1245"/>
      <c r="O33" s="1245"/>
      <c r="S33" s="16116" t="s">
        <v>561</v>
      </c>
      <c r="T33" s="16116"/>
      <c r="U33" s="1249"/>
      <c r="V33" s="16117" t="str">
        <f>IF(TITLE_NUMBER_PR_CHANGE="",IF(TITLE_NUMBER_PR="","",TITLE_NUMBER_PR),TITLE_NUMBER_PR_CHANGE)</f>
        <v>8/6</v>
      </c>
      <c r="W33" s="16117"/>
      <c r="X33" s="16117"/>
      <c r="Y33" s="16117"/>
      <c r="Z33" s="16117"/>
      <c r="AA33" s="16117"/>
      <c r="AB33" s="16117"/>
      <c r="AC33" s="16117"/>
      <c r="AD33" s="16117"/>
      <c r="AE33" s="16117"/>
      <c r="AF33" s="243"/>
      <c r="AG33" s="16117" t="str">
        <f>IF(TITLE_NUMBER_PR_CHANGE="",IF(TITLE_NUMBER_PR="","",TITLE_NUMBER_PR),TITLE_NUMBER_PR_CHANGE)</f>
        <v>8/6</v>
      </c>
      <c r="AH33" s="16117"/>
      <c r="AI33" s="16117"/>
      <c r="AJ33" s="16117"/>
      <c r="AK33" s="16117"/>
      <c r="AL33" s="16117"/>
      <c r="AM33" s="16117"/>
      <c r="AN33" s="16117"/>
      <c r="AO33" s="16117"/>
      <c r="AP33" s="16117"/>
      <c r="AQ33" s="243"/>
      <c r="AR33" s="16117" t="str">
        <f>IF(TITLE_NUMBER_PR_CHANGE="",IF(TITLE_NUMBER_PR="","",TITLE_NUMBER_PR),TITLE_NUMBER_PR_CHANGE)</f>
        <v>8/6</v>
      </c>
      <c r="AS33" s="16117"/>
      <c r="AT33" s="16117"/>
      <c r="AU33" s="16117"/>
      <c r="AV33" s="16117"/>
      <c r="AW33" s="16117"/>
      <c r="AX33" s="16117"/>
      <c r="AY33" s="16117"/>
      <c r="AZ33" s="16117"/>
      <c r="BA33" s="16117"/>
      <c r="BB33" s="1892"/>
      <c r="BC33" s="16117" t="str">
        <f>IF(TITLE_NUMBER_PR_CHANGE="",IF(TITLE_NUMBER_PR="","",TITLE_NUMBER_PR),TITLE_NUMBER_PR_CHANGE)</f>
        <v>8/6</v>
      </c>
      <c r="BD33" s="16117"/>
      <c r="BE33" s="16117"/>
      <c r="BF33" s="16117"/>
      <c r="BG33" s="16117"/>
      <c r="BH33" s="16117"/>
      <c r="BI33" s="16117"/>
      <c r="BJ33" s="16117"/>
      <c r="BK33" s="16117"/>
      <c r="BL33" s="16117"/>
      <c r="BM33" s="1892"/>
      <c r="BN33" s="16117" t="str">
        <f>IF(TITLE_NUMBER_PR_CHANGE="",IF(TITLE_NUMBER_PR="","",TITLE_NUMBER_PR),TITLE_NUMBER_PR_CHANGE)</f>
        <v>8/6</v>
      </c>
      <c r="BO33" s="16117"/>
      <c r="BP33" s="16117"/>
      <c r="BQ33" s="16117"/>
      <c r="BR33" s="16117"/>
      <c r="BS33" s="16117"/>
      <c r="BT33" s="16117"/>
      <c r="BU33" s="16117"/>
      <c r="BV33" s="16117"/>
      <c r="BW33" s="16117"/>
      <c r="BX33" s="1892"/>
      <c r="BY33" s="16117" t="str">
        <f>IF(TITLE_NUMBER_PR_CHANGE="",IF(TITLE_NUMBER_PR="","",TITLE_NUMBER_PR),TITLE_NUMBER_PR_CHANGE)</f>
        <v>8/6</v>
      </c>
      <c r="BZ33" s="16117"/>
      <c r="CA33" s="16117"/>
      <c r="CB33" s="16117"/>
      <c r="CC33" s="16117"/>
      <c r="CD33" s="16117"/>
      <c r="CE33" s="16117"/>
      <c r="CF33" s="16117"/>
      <c r="CG33" s="16117"/>
      <c r="CH33" s="16117"/>
      <c r="CI33" s="1892"/>
      <c r="CJ33" s="16117" t="str">
        <f>IF(TITLE_NUMBER_PR_CHANGE="",IF(TITLE_NUMBER_PR="","",TITLE_NUMBER_PR),TITLE_NUMBER_PR_CHANGE)</f>
        <v>8/6</v>
      </c>
      <c r="CK33" s="16117"/>
      <c r="CL33" s="16117"/>
      <c r="CM33" s="16117"/>
      <c r="CN33" s="16117"/>
      <c r="CO33" s="16117"/>
      <c r="CP33" s="16117"/>
      <c r="CQ33" s="16117"/>
      <c r="CR33" s="16117"/>
      <c r="CS33" s="16117"/>
      <c r="CT33" s="1892"/>
      <c r="CU33" s="16117" t="str">
        <f>IF(TITLE_NUMBER_PR_CHANGE="",IF(TITLE_NUMBER_PR="","",TITLE_NUMBER_PR),TITLE_NUMBER_PR_CHANGE)</f>
        <v>8/6</v>
      </c>
      <c r="CV33" s="16117"/>
      <c r="CW33" s="16117"/>
      <c r="CX33" s="16117"/>
      <c r="CY33" s="16117"/>
      <c r="CZ33" s="16117"/>
      <c r="DA33" s="16117"/>
      <c r="DB33" s="16117"/>
      <c r="DC33" s="16117"/>
      <c r="DD33" s="16117"/>
      <c r="DE33" s="1892"/>
      <c r="DF33" s="16117" t="str">
        <f>IF(TITLE_NUMBER_PR_CHANGE="",IF(TITLE_NUMBER_PR="","",TITLE_NUMBER_PR),TITLE_NUMBER_PR_CHANGE)</f>
        <v>8/6</v>
      </c>
      <c r="DG33" s="16117"/>
      <c r="DH33" s="16117"/>
      <c r="DI33" s="16117"/>
      <c r="DJ33" s="16117"/>
      <c r="DK33" s="16117"/>
      <c r="DL33" s="16117"/>
      <c r="DM33" s="16117"/>
      <c r="DN33" s="16117"/>
      <c r="DO33" s="16117"/>
      <c r="DP33" s="1892"/>
      <c r="DQ33" s="16117" t="str">
        <f>IF(TITLE_NUMBER_PR_CHANGE="",IF(TITLE_NUMBER_PR="","",TITLE_NUMBER_PR),TITLE_NUMBER_PR_CHANGE)</f>
        <v>8/6</v>
      </c>
      <c r="DR33" s="16117"/>
      <c r="DS33" s="16117"/>
      <c r="DT33" s="16117"/>
      <c r="DU33" s="16117"/>
      <c r="DV33" s="16117"/>
      <c r="DW33" s="16117"/>
      <c r="DX33" s="16117"/>
      <c r="DY33" s="16117"/>
      <c r="DZ33" s="16117"/>
      <c r="EA33" s="1892"/>
      <c r="EB33" s="16117" t="str">
        <f>IF(TITLE_NUMBER_PR_CHANGE="",IF(TITLE_NUMBER_PR="","",TITLE_NUMBER_PR),TITLE_NUMBER_PR_CHANGE)</f>
        <v>8/6</v>
      </c>
      <c r="EC33" s="16117"/>
      <c r="ED33" s="16117"/>
      <c r="EE33" s="16117"/>
      <c r="EF33" s="16117"/>
      <c r="EG33" s="16117"/>
      <c r="EH33" s="16117"/>
      <c r="EI33" s="16117"/>
      <c r="EJ33" s="16117"/>
      <c r="EK33" s="16117"/>
      <c r="EL33" s="1892"/>
      <c r="EM33" s="16117" t="str">
        <f>IF(TITLE_NUMBER_PR_CHANGE="",IF(TITLE_NUMBER_PR="","",TITLE_NUMBER_PR),TITLE_NUMBER_PR_CHANGE)</f>
        <v>8/6</v>
      </c>
      <c r="EN33" s="16117"/>
      <c r="EO33" s="16117"/>
      <c r="EP33" s="16117"/>
      <c r="EQ33" s="16117"/>
      <c r="ER33" s="16117"/>
      <c r="ES33" s="16117"/>
      <c r="ET33" s="16117"/>
      <c r="EU33" s="16117"/>
      <c r="EV33" s="16117"/>
      <c r="EW33" s="14447"/>
      <c r="EX33" s="243"/>
      <c r="EY33" s="198"/>
      <c r="EZ33" s="283"/>
      <c r="FA33" s="283"/>
      <c r="FB33" s="283"/>
      <c r="FC33" s="283"/>
      <c r="FD33" s="283"/>
    </row>
    <row r="34" spans="1:160" s="14420"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1498"/>
      <c r="X34" s="1498"/>
      <c r="Y34" s="1498"/>
      <c r="Z34" s="1498"/>
      <c r="AA34" s="1498"/>
      <c r="AB34" s="1498"/>
      <c r="AC34" s="243"/>
      <c r="AD34" s="243"/>
      <c r="AE34" s="243"/>
      <c r="AF34" s="196" t="s">
        <v>562</v>
      </c>
      <c r="AG34" s="243"/>
      <c r="AH34" s="1498"/>
      <c r="AI34" s="1498"/>
      <c r="AJ34" s="1498"/>
      <c r="AK34" s="1498"/>
      <c r="AL34" s="1498"/>
      <c r="AM34" s="243"/>
      <c r="AN34" s="243"/>
      <c r="AO34" s="243"/>
      <c r="AP34" s="243"/>
      <c r="AQ34" s="196" t="s">
        <v>562</v>
      </c>
      <c r="AR34" s="1892"/>
      <c r="AS34" s="1892"/>
      <c r="AT34" s="1892"/>
      <c r="AU34" s="1892"/>
      <c r="AV34" s="1892"/>
      <c r="AW34" s="1892"/>
      <c r="AX34" s="1892"/>
      <c r="AY34" s="1892"/>
      <c r="AZ34" s="1892"/>
      <c r="BA34" s="1892"/>
      <c r="BB34" s="2199" t="s">
        <v>562</v>
      </c>
      <c r="BC34" s="1892"/>
      <c r="BD34" s="1892"/>
      <c r="BE34" s="1892"/>
      <c r="BF34" s="1892"/>
      <c r="BG34" s="1892"/>
      <c r="BH34" s="1892"/>
      <c r="BI34" s="1892"/>
      <c r="BJ34" s="1892"/>
      <c r="BK34" s="1892"/>
      <c r="BL34" s="1892"/>
      <c r="BM34" s="2199" t="s">
        <v>562</v>
      </c>
      <c r="BN34" s="1892"/>
      <c r="BO34" s="1892"/>
      <c r="BP34" s="1892"/>
      <c r="BQ34" s="1892"/>
      <c r="BR34" s="1892"/>
      <c r="BS34" s="1892"/>
      <c r="BT34" s="1892"/>
      <c r="BU34" s="1892"/>
      <c r="BV34" s="1892"/>
      <c r="BW34" s="1892"/>
      <c r="BX34" s="2199" t="s">
        <v>562</v>
      </c>
      <c r="BY34" s="1892"/>
      <c r="BZ34" s="1892"/>
      <c r="CA34" s="1892"/>
      <c r="CB34" s="1892"/>
      <c r="CC34" s="1892"/>
      <c r="CD34" s="1892"/>
      <c r="CE34" s="1892"/>
      <c r="CF34" s="1892"/>
      <c r="CG34" s="1892"/>
      <c r="CH34" s="1892"/>
      <c r="CI34" s="2199" t="s">
        <v>562</v>
      </c>
      <c r="CJ34" s="1892"/>
      <c r="CK34" s="1892"/>
      <c r="CL34" s="1892"/>
      <c r="CM34" s="1892"/>
      <c r="CN34" s="1892"/>
      <c r="CO34" s="1892"/>
      <c r="CP34" s="1892"/>
      <c r="CQ34" s="1892"/>
      <c r="CR34" s="1892"/>
      <c r="CS34" s="1892"/>
      <c r="CT34" s="2199" t="s">
        <v>562</v>
      </c>
      <c r="CU34" s="1892"/>
      <c r="CV34" s="1892"/>
      <c r="CW34" s="1892"/>
      <c r="CX34" s="1892"/>
      <c r="CY34" s="1892"/>
      <c r="CZ34" s="1892"/>
      <c r="DA34" s="1892"/>
      <c r="DB34" s="1892"/>
      <c r="DC34" s="1892"/>
      <c r="DD34" s="1892"/>
      <c r="DE34" s="2199" t="s">
        <v>562</v>
      </c>
      <c r="DF34" s="1892"/>
      <c r="DG34" s="1892"/>
      <c r="DH34" s="1892"/>
      <c r="DI34" s="1892"/>
      <c r="DJ34" s="1892"/>
      <c r="DK34" s="1892"/>
      <c r="DL34" s="1892"/>
      <c r="DM34" s="1892"/>
      <c r="DN34" s="1892"/>
      <c r="DO34" s="1892"/>
      <c r="DP34" s="2199" t="s">
        <v>562</v>
      </c>
      <c r="DQ34" s="1892"/>
      <c r="DR34" s="1892"/>
      <c r="DS34" s="1892"/>
      <c r="DT34" s="1892"/>
      <c r="DU34" s="1892"/>
      <c r="DV34" s="1892"/>
      <c r="DW34" s="1892"/>
      <c r="DX34" s="1892"/>
      <c r="DY34" s="1892"/>
      <c r="DZ34" s="1892"/>
      <c r="EA34" s="2199" t="s">
        <v>562</v>
      </c>
      <c r="EB34" s="1892"/>
      <c r="EC34" s="1892"/>
      <c r="ED34" s="1892"/>
      <c r="EE34" s="1892"/>
      <c r="EF34" s="1892"/>
      <c r="EG34" s="1892"/>
      <c r="EH34" s="1892"/>
      <c r="EI34" s="1892"/>
      <c r="EJ34" s="1892"/>
      <c r="EK34" s="1892"/>
      <c r="EL34" s="2199" t="s">
        <v>562</v>
      </c>
      <c r="EM34" s="14447"/>
      <c r="EN34" s="14447"/>
      <c r="EO34" s="14447"/>
      <c r="EP34" s="14447"/>
      <c r="EQ34" s="14447"/>
      <c r="ER34" s="14447"/>
      <c r="ES34" s="14447"/>
      <c r="ET34" s="14447"/>
      <c r="EU34" s="14447"/>
      <c r="EV34" s="14447"/>
      <c r="EW34" s="14490" t="s">
        <v>562</v>
      </c>
      <c r="EZ34" s="283"/>
      <c r="FA34" s="283"/>
      <c r="FB34" s="283"/>
      <c r="FC34" s="283"/>
      <c r="FD34" s="283"/>
    </row>
    <row r="35" spans="1:160" ht="14.25" customHeight="1">
      <c r="Q35" s="291"/>
      <c r="R35" s="291"/>
      <c r="S35" s="1157"/>
      <c r="T35" s="279"/>
      <c r="U35" s="1126"/>
      <c r="V35" s="16118"/>
      <c r="W35" s="16118"/>
      <c r="X35" s="16118"/>
      <c r="Y35" s="16118"/>
      <c r="Z35" s="16118"/>
      <c r="AA35" s="16118"/>
      <c r="AB35" s="16118"/>
      <c r="AC35" s="16118"/>
      <c r="AD35" s="16118"/>
      <c r="AE35" s="16118"/>
      <c r="AF35" s="16118"/>
      <c r="AG35" s="16118"/>
      <c r="AH35" s="16118"/>
      <c r="AI35" s="16118"/>
      <c r="AJ35" s="16118"/>
      <c r="AK35" s="16118"/>
      <c r="AL35" s="16118"/>
      <c r="AM35" s="16118"/>
      <c r="AN35" s="16118"/>
      <c r="AO35" s="16118"/>
      <c r="AP35" s="16118"/>
      <c r="AQ35" s="16118"/>
      <c r="AR35" s="16118" t="s">
        <v>103</v>
      </c>
      <c r="AS35" s="16118"/>
      <c r="AT35" s="16118"/>
      <c r="AU35" s="16118"/>
      <c r="AV35" s="16118"/>
      <c r="AW35" s="16118"/>
      <c r="AX35" s="16118"/>
      <c r="AY35" s="16118"/>
      <c r="AZ35" s="16118"/>
      <c r="BA35" s="16118"/>
      <c r="BB35" s="16118"/>
      <c r="BC35" s="16118" t="s">
        <v>103</v>
      </c>
      <c r="BD35" s="16118"/>
      <c r="BE35" s="16118"/>
      <c r="BF35" s="16118"/>
      <c r="BG35" s="16118"/>
      <c r="BH35" s="16118"/>
      <c r="BI35" s="16118"/>
      <c r="BJ35" s="16118"/>
      <c r="BK35" s="16118"/>
      <c r="BL35" s="16118"/>
      <c r="BM35" s="16118"/>
      <c r="BN35" s="16118" t="s">
        <v>103</v>
      </c>
      <c r="BO35" s="16118"/>
      <c r="BP35" s="16118"/>
      <c r="BQ35" s="16118"/>
      <c r="BR35" s="16118"/>
      <c r="BS35" s="16118"/>
      <c r="BT35" s="16118"/>
      <c r="BU35" s="16118"/>
      <c r="BV35" s="16118"/>
      <c r="BW35" s="16118"/>
      <c r="BX35" s="16118"/>
      <c r="BY35" s="16118" t="s">
        <v>103</v>
      </c>
      <c r="BZ35" s="16118"/>
      <c r="CA35" s="16118"/>
      <c r="CB35" s="16118"/>
      <c r="CC35" s="16118"/>
      <c r="CD35" s="16118"/>
      <c r="CE35" s="16118"/>
      <c r="CF35" s="16118"/>
      <c r="CG35" s="16118"/>
      <c r="CH35" s="16118"/>
      <c r="CI35" s="16118"/>
      <c r="CJ35" s="16118" t="s">
        <v>103</v>
      </c>
      <c r="CK35" s="16118"/>
      <c r="CL35" s="16118"/>
      <c r="CM35" s="16118"/>
      <c r="CN35" s="16118"/>
      <c r="CO35" s="16118"/>
      <c r="CP35" s="16118"/>
      <c r="CQ35" s="16118"/>
      <c r="CR35" s="16118"/>
      <c r="CS35" s="16118"/>
      <c r="CT35" s="16118"/>
      <c r="CU35" s="16118" t="s">
        <v>103</v>
      </c>
      <c r="CV35" s="16118"/>
      <c r="CW35" s="16118"/>
      <c r="CX35" s="16118"/>
      <c r="CY35" s="16118"/>
      <c r="CZ35" s="16118"/>
      <c r="DA35" s="16118"/>
      <c r="DB35" s="16118"/>
      <c r="DC35" s="16118"/>
      <c r="DD35" s="16118"/>
      <c r="DE35" s="16118"/>
      <c r="DF35" s="16118" t="s">
        <v>103</v>
      </c>
      <c r="DG35" s="16118"/>
      <c r="DH35" s="16118"/>
      <c r="DI35" s="16118"/>
      <c r="DJ35" s="16118"/>
      <c r="DK35" s="16118"/>
      <c r="DL35" s="16118"/>
      <c r="DM35" s="16118"/>
      <c r="DN35" s="16118"/>
      <c r="DO35" s="16118"/>
      <c r="DP35" s="16118"/>
      <c r="DQ35" s="16118" t="s">
        <v>103</v>
      </c>
      <c r="DR35" s="16118"/>
      <c r="DS35" s="16118"/>
      <c r="DT35" s="16118"/>
      <c r="DU35" s="16118"/>
      <c r="DV35" s="16118"/>
      <c r="DW35" s="16118"/>
      <c r="DX35" s="16118"/>
      <c r="DY35" s="16118"/>
      <c r="DZ35" s="16118"/>
      <c r="EA35" s="16118"/>
      <c r="EB35" s="16118" t="s">
        <v>103</v>
      </c>
      <c r="EC35" s="16118"/>
      <c r="ED35" s="16118"/>
      <c r="EE35" s="16118"/>
      <c r="EF35" s="16118"/>
      <c r="EG35" s="16118"/>
      <c r="EH35" s="16118"/>
      <c r="EI35" s="16118"/>
      <c r="EJ35" s="16118"/>
      <c r="EK35" s="16118"/>
      <c r="EL35" s="16118"/>
      <c r="EM35" s="16118" t="s">
        <v>103</v>
      </c>
      <c r="EN35" s="16118"/>
      <c r="EO35" s="16118"/>
      <c r="EP35" s="16118"/>
      <c r="EQ35" s="16118"/>
      <c r="ER35" s="16118"/>
      <c r="ES35" s="16118"/>
      <c r="ET35" s="16118"/>
      <c r="EU35" s="16118"/>
      <c r="EV35" s="16118"/>
      <c r="EW35" s="16118"/>
    </row>
    <row r="36" spans="1:160" ht="14.25" customHeight="1">
      <c r="Q36" s="291"/>
      <c r="R36" s="291"/>
      <c r="S36" s="15992" t="s">
        <v>437</v>
      </c>
      <c r="T36" s="15992"/>
      <c r="U36" s="15992"/>
      <c r="V36" s="15992"/>
      <c r="W36" s="15992"/>
      <c r="X36" s="15992"/>
      <c r="Y36" s="15992"/>
      <c r="Z36" s="15992"/>
      <c r="AA36" s="15992"/>
      <c r="AB36" s="15992"/>
      <c r="AC36" s="15992"/>
      <c r="AD36" s="15992"/>
      <c r="AE36" s="15992"/>
      <c r="AF36" s="15992"/>
      <c r="AG36" s="15992"/>
      <c r="AH36" s="15992"/>
      <c r="AI36" s="15992"/>
      <c r="AJ36" s="15992"/>
      <c r="AK36" s="15992"/>
      <c r="AL36" s="15992"/>
      <c r="AM36" s="15992"/>
      <c r="AN36" s="15992"/>
      <c r="AO36" s="15992"/>
      <c r="AP36" s="15992"/>
      <c r="AQ36" s="15992"/>
      <c r="AR36" s="15992" t="s">
        <v>437</v>
      </c>
      <c r="AS36" s="15992"/>
      <c r="AT36" s="15992"/>
      <c r="AU36" s="15992"/>
      <c r="AV36" s="15992"/>
      <c r="AW36" s="15992"/>
      <c r="AX36" s="15992"/>
      <c r="AY36" s="15992"/>
      <c r="AZ36" s="15992"/>
      <c r="BA36" s="15992"/>
      <c r="BB36" s="15992"/>
      <c r="BC36" s="15992" t="s">
        <v>437</v>
      </c>
      <c r="BD36" s="15992"/>
      <c r="BE36" s="15992"/>
      <c r="BF36" s="15992"/>
      <c r="BG36" s="15992"/>
      <c r="BH36" s="15992"/>
      <c r="BI36" s="15992"/>
      <c r="BJ36" s="15992"/>
      <c r="BK36" s="15992"/>
      <c r="BL36" s="15992"/>
      <c r="BM36" s="15992"/>
      <c r="BN36" s="15992" t="s">
        <v>437</v>
      </c>
      <c r="BO36" s="15992"/>
      <c r="BP36" s="15992"/>
      <c r="BQ36" s="15992"/>
      <c r="BR36" s="15992"/>
      <c r="BS36" s="15992"/>
      <c r="BT36" s="15992"/>
      <c r="BU36" s="15992"/>
      <c r="BV36" s="15992"/>
      <c r="BW36" s="15992"/>
      <c r="BX36" s="15992"/>
      <c r="BY36" s="15992" t="s">
        <v>437</v>
      </c>
      <c r="BZ36" s="15992"/>
      <c r="CA36" s="15992"/>
      <c r="CB36" s="15992"/>
      <c r="CC36" s="15992"/>
      <c r="CD36" s="15992"/>
      <c r="CE36" s="15992"/>
      <c r="CF36" s="15992"/>
      <c r="CG36" s="15992"/>
      <c r="CH36" s="15992"/>
      <c r="CI36" s="15992"/>
      <c r="CJ36" s="15992" t="s">
        <v>437</v>
      </c>
      <c r="CK36" s="15992"/>
      <c r="CL36" s="15992"/>
      <c r="CM36" s="15992"/>
      <c r="CN36" s="15992"/>
      <c r="CO36" s="15992"/>
      <c r="CP36" s="15992"/>
      <c r="CQ36" s="15992"/>
      <c r="CR36" s="15992"/>
      <c r="CS36" s="15992"/>
      <c r="CT36" s="15992"/>
      <c r="CU36" s="15992" t="s">
        <v>437</v>
      </c>
      <c r="CV36" s="15992"/>
      <c r="CW36" s="15992"/>
      <c r="CX36" s="15992"/>
      <c r="CY36" s="15992"/>
      <c r="CZ36" s="15992"/>
      <c r="DA36" s="15992"/>
      <c r="DB36" s="15992"/>
      <c r="DC36" s="15992"/>
      <c r="DD36" s="15992"/>
      <c r="DE36" s="15992"/>
      <c r="DF36" s="15992" t="s">
        <v>437</v>
      </c>
      <c r="DG36" s="15992"/>
      <c r="DH36" s="15992"/>
      <c r="DI36" s="15992"/>
      <c r="DJ36" s="15992"/>
      <c r="DK36" s="15992"/>
      <c r="DL36" s="15992"/>
      <c r="DM36" s="15992"/>
      <c r="DN36" s="15992"/>
      <c r="DO36" s="15992"/>
      <c r="DP36" s="15992"/>
      <c r="DQ36" s="15992" t="s">
        <v>437</v>
      </c>
      <c r="DR36" s="15992"/>
      <c r="DS36" s="15992"/>
      <c r="DT36" s="15992"/>
      <c r="DU36" s="15992"/>
      <c r="DV36" s="15992"/>
      <c r="DW36" s="15992"/>
      <c r="DX36" s="15992"/>
      <c r="DY36" s="15992"/>
      <c r="DZ36" s="15992"/>
      <c r="EA36" s="15992"/>
      <c r="EB36" s="15992" t="s">
        <v>437</v>
      </c>
      <c r="EC36" s="15992"/>
      <c r="ED36" s="15992"/>
      <c r="EE36" s="15992"/>
      <c r="EF36" s="15992"/>
      <c r="EG36" s="15992"/>
      <c r="EH36" s="15992"/>
      <c r="EI36" s="15992"/>
      <c r="EJ36" s="15992"/>
      <c r="EK36" s="15992"/>
      <c r="EL36" s="15992"/>
      <c r="EM36" s="15992" t="s">
        <v>437</v>
      </c>
      <c r="EN36" s="15992"/>
      <c r="EO36" s="15992"/>
      <c r="EP36" s="15992"/>
      <c r="EQ36" s="15992"/>
      <c r="ER36" s="15992"/>
      <c r="ES36" s="15992"/>
      <c r="ET36" s="15992"/>
      <c r="EU36" s="15992"/>
      <c r="EV36" s="15992"/>
      <c r="EW36" s="15992"/>
      <c r="EX36" s="15992"/>
      <c r="EY36" s="15992"/>
    </row>
    <row r="37" spans="1:160" ht="14.25" customHeight="1">
      <c r="Q37" s="291"/>
      <c r="R37" s="291"/>
      <c r="S37" s="16132" t="s">
        <v>87</v>
      </c>
      <c r="T37" s="16084" t="s">
        <v>563</v>
      </c>
      <c r="U37" s="218"/>
      <c r="V37" s="16133" t="s">
        <v>564</v>
      </c>
      <c r="W37" s="16150"/>
      <c r="X37" s="16150"/>
      <c r="Y37" s="16150"/>
      <c r="Z37" s="16150"/>
      <c r="AA37" s="16150"/>
      <c r="AB37" s="16150"/>
      <c r="AC37" s="16134"/>
      <c r="AD37" s="16134"/>
      <c r="AE37" s="16135"/>
      <c r="AF37" s="16136" t="s">
        <v>565</v>
      </c>
      <c r="AG37" s="16133" t="s">
        <v>564</v>
      </c>
      <c r="AH37" s="16134"/>
      <c r="AI37" s="16134"/>
      <c r="AJ37" s="16134"/>
      <c r="AK37" s="16134"/>
      <c r="AL37" s="16134"/>
      <c r="AM37" s="16134"/>
      <c r="AN37" s="16134"/>
      <c r="AO37" s="16134"/>
      <c r="AP37" s="16135"/>
      <c r="AQ37" s="16136" t="s">
        <v>566</v>
      </c>
      <c r="AR37" s="16133" t="s">
        <v>564</v>
      </c>
      <c r="AS37" s="16150"/>
      <c r="AT37" s="16150"/>
      <c r="AU37" s="16150"/>
      <c r="AV37" s="16150"/>
      <c r="AW37" s="16150"/>
      <c r="AX37" s="16150"/>
      <c r="AY37" s="16134"/>
      <c r="AZ37" s="16134"/>
      <c r="BA37" s="16135"/>
      <c r="BB37" s="16136" t="s">
        <v>565</v>
      </c>
      <c r="BC37" s="16133" t="s">
        <v>564</v>
      </c>
      <c r="BD37" s="16150"/>
      <c r="BE37" s="16150"/>
      <c r="BF37" s="16150"/>
      <c r="BG37" s="16150"/>
      <c r="BH37" s="16150"/>
      <c r="BI37" s="16150"/>
      <c r="BJ37" s="16134"/>
      <c r="BK37" s="16134"/>
      <c r="BL37" s="16135"/>
      <c r="BM37" s="16136" t="s">
        <v>565</v>
      </c>
      <c r="BN37" s="16133" t="s">
        <v>564</v>
      </c>
      <c r="BO37" s="16150"/>
      <c r="BP37" s="16150"/>
      <c r="BQ37" s="16150"/>
      <c r="BR37" s="16150"/>
      <c r="BS37" s="16150"/>
      <c r="BT37" s="16150"/>
      <c r="BU37" s="16134"/>
      <c r="BV37" s="16134"/>
      <c r="BW37" s="16135"/>
      <c r="BX37" s="16136" t="s">
        <v>565</v>
      </c>
      <c r="BY37" s="16133" t="s">
        <v>564</v>
      </c>
      <c r="BZ37" s="16150"/>
      <c r="CA37" s="16150"/>
      <c r="CB37" s="16150"/>
      <c r="CC37" s="16150"/>
      <c r="CD37" s="16150"/>
      <c r="CE37" s="16150"/>
      <c r="CF37" s="16134"/>
      <c r="CG37" s="16134"/>
      <c r="CH37" s="16135"/>
      <c r="CI37" s="16136" t="s">
        <v>565</v>
      </c>
      <c r="CJ37" s="16133" t="s">
        <v>564</v>
      </c>
      <c r="CK37" s="16150"/>
      <c r="CL37" s="16150"/>
      <c r="CM37" s="16150"/>
      <c r="CN37" s="16150"/>
      <c r="CO37" s="16150"/>
      <c r="CP37" s="16150"/>
      <c r="CQ37" s="16134"/>
      <c r="CR37" s="16134"/>
      <c r="CS37" s="16135"/>
      <c r="CT37" s="16136" t="s">
        <v>565</v>
      </c>
      <c r="CU37" s="16133" t="s">
        <v>564</v>
      </c>
      <c r="CV37" s="16150"/>
      <c r="CW37" s="16150"/>
      <c r="CX37" s="16150"/>
      <c r="CY37" s="16150"/>
      <c r="CZ37" s="16150"/>
      <c r="DA37" s="16150"/>
      <c r="DB37" s="16134"/>
      <c r="DC37" s="16134"/>
      <c r="DD37" s="16135"/>
      <c r="DE37" s="16136" t="s">
        <v>565</v>
      </c>
      <c r="DF37" s="16133" t="s">
        <v>564</v>
      </c>
      <c r="DG37" s="16150"/>
      <c r="DH37" s="16150"/>
      <c r="DI37" s="16150"/>
      <c r="DJ37" s="16150"/>
      <c r="DK37" s="16150"/>
      <c r="DL37" s="16150"/>
      <c r="DM37" s="16134"/>
      <c r="DN37" s="16134"/>
      <c r="DO37" s="16135"/>
      <c r="DP37" s="16136" t="s">
        <v>565</v>
      </c>
      <c r="DQ37" s="16133" t="s">
        <v>564</v>
      </c>
      <c r="DR37" s="16150"/>
      <c r="DS37" s="16150"/>
      <c r="DT37" s="16150"/>
      <c r="DU37" s="16150"/>
      <c r="DV37" s="16150"/>
      <c r="DW37" s="16150"/>
      <c r="DX37" s="16134"/>
      <c r="DY37" s="16134"/>
      <c r="DZ37" s="16135"/>
      <c r="EA37" s="16136" t="s">
        <v>565</v>
      </c>
      <c r="EB37" s="16133" t="s">
        <v>564</v>
      </c>
      <c r="EC37" s="16150"/>
      <c r="ED37" s="16150"/>
      <c r="EE37" s="16150"/>
      <c r="EF37" s="16150"/>
      <c r="EG37" s="16150"/>
      <c r="EH37" s="16150"/>
      <c r="EI37" s="16134"/>
      <c r="EJ37" s="16134"/>
      <c r="EK37" s="16135"/>
      <c r="EL37" s="16136" t="s">
        <v>565</v>
      </c>
      <c r="EM37" s="16133" t="s">
        <v>564</v>
      </c>
      <c r="EN37" s="16150"/>
      <c r="EO37" s="16150"/>
      <c r="EP37" s="16150"/>
      <c r="EQ37" s="16150"/>
      <c r="ER37" s="16150"/>
      <c r="ES37" s="16150"/>
      <c r="ET37" s="16134"/>
      <c r="EU37" s="16134"/>
      <c r="EV37" s="16135"/>
      <c r="EW37" s="16136" t="s">
        <v>565</v>
      </c>
      <c r="EX37" s="16139" t="s">
        <v>567</v>
      </c>
      <c r="EY37" s="15992"/>
    </row>
    <row r="38" spans="1:160" ht="18.75" customHeight="1">
      <c r="Q38" s="291"/>
      <c r="R38" s="291"/>
      <c r="S38" s="16132"/>
      <c r="T38" s="16084"/>
      <c r="U38" s="919"/>
      <c r="V38" s="15992" t="s">
        <v>667</v>
      </c>
      <c r="W38" s="16080" t="s">
        <v>668</v>
      </c>
      <c r="X38" s="16080"/>
      <c r="Y38" s="16080"/>
      <c r="Z38" s="16080" t="s">
        <v>669</v>
      </c>
      <c r="AA38" s="16080"/>
      <c r="AB38" s="16080"/>
      <c r="AC38" s="16070" t="s">
        <v>571</v>
      </c>
      <c r="AD38" s="16157"/>
      <c r="AE38" s="16071"/>
      <c r="AF38" s="16137"/>
      <c r="AG38" s="15992" t="s">
        <v>667</v>
      </c>
      <c r="AH38" s="16080" t="s">
        <v>668</v>
      </c>
      <c r="AI38" s="16080"/>
      <c r="AJ38" s="16080"/>
      <c r="AK38" s="16080" t="s">
        <v>669</v>
      </c>
      <c r="AL38" s="16080"/>
      <c r="AM38" s="16080"/>
      <c r="AN38" s="16070" t="s">
        <v>571</v>
      </c>
      <c r="AO38" s="16157"/>
      <c r="AP38" s="16071"/>
      <c r="AQ38" s="16137"/>
      <c r="AR38" s="15992" t="s">
        <v>667</v>
      </c>
      <c r="AS38" s="16080" t="s">
        <v>668</v>
      </c>
      <c r="AT38" s="16080"/>
      <c r="AU38" s="16080"/>
      <c r="AV38" s="16080" t="s">
        <v>669</v>
      </c>
      <c r="AW38" s="16080"/>
      <c r="AX38" s="16080"/>
      <c r="AY38" s="16070" t="s">
        <v>571</v>
      </c>
      <c r="AZ38" s="16157"/>
      <c r="BA38" s="16071"/>
      <c r="BB38" s="16137"/>
      <c r="BC38" s="15992" t="s">
        <v>667</v>
      </c>
      <c r="BD38" s="16080" t="s">
        <v>668</v>
      </c>
      <c r="BE38" s="16080"/>
      <c r="BF38" s="16080"/>
      <c r="BG38" s="16080" t="s">
        <v>669</v>
      </c>
      <c r="BH38" s="16080"/>
      <c r="BI38" s="16080"/>
      <c r="BJ38" s="16070" t="s">
        <v>571</v>
      </c>
      <c r="BK38" s="16157"/>
      <c r="BL38" s="16071"/>
      <c r="BM38" s="16137"/>
      <c r="BN38" s="15992" t="s">
        <v>667</v>
      </c>
      <c r="BO38" s="16080" t="s">
        <v>668</v>
      </c>
      <c r="BP38" s="16080"/>
      <c r="BQ38" s="16080"/>
      <c r="BR38" s="16080" t="s">
        <v>669</v>
      </c>
      <c r="BS38" s="16080"/>
      <c r="BT38" s="16080"/>
      <c r="BU38" s="16070" t="s">
        <v>571</v>
      </c>
      <c r="BV38" s="16157"/>
      <c r="BW38" s="16071"/>
      <c r="BX38" s="16137"/>
      <c r="BY38" s="15992" t="s">
        <v>667</v>
      </c>
      <c r="BZ38" s="16080" t="s">
        <v>668</v>
      </c>
      <c r="CA38" s="16080"/>
      <c r="CB38" s="16080"/>
      <c r="CC38" s="16080" t="s">
        <v>669</v>
      </c>
      <c r="CD38" s="16080"/>
      <c r="CE38" s="16080"/>
      <c r="CF38" s="16070" t="s">
        <v>571</v>
      </c>
      <c r="CG38" s="16157"/>
      <c r="CH38" s="16071"/>
      <c r="CI38" s="16137"/>
      <c r="CJ38" s="15992" t="s">
        <v>667</v>
      </c>
      <c r="CK38" s="16080" t="s">
        <v>668</v>
      </c>
      <c r="CL38" s="16080"/>
      <c r="CM38" s="16080"/>
      <c r="CN38" s="16080" t="s">
        <v>669</v>
      </c>
      <c r="CO38" s="16080"/>
      <c r="CP38" s="16080"/>
      <c r="CQ38" s="16070" t="s">
        <v>571</v>
      </c>
      <c r="CR38" s="16157"/>
      <c r="CS38" s="16071"/>
      <c r="CT38" s="16137"/>
      <c r="CU38" s="15992" t="s">
        <v>667</v>
      </c>
      <c r="CV38" s="16080" t="s">
        <v>668</v>
      </c>
      <c r="CW38" s="16080"/>
      <c r="CX38" s="16080"/>
      <c r="CY38" s="16080" t="s">
        <v>669</v>
      </c>
      <c r="CZ38" s="16080"/>
      <c r="DA38" s="16080"/>
      <c r="DB38" s="16070" t="s">
        <v>571</v>
      </c>
      <c r="DC38" s="16157"/>
      <c r="DD38" s="16071"/>
      <c r="DE38" s="16137"/>
      <c r="DF38" s="15992" t="s">
        <v>667</v>
      </c>
      <c r="DG38" s="16080" t="s">
        <v>668</v>
      </c>
      <c r="DH38" s="16080"/>
      <c r="DI38" s="16080"/>
      <c r="DJ38" s="16080" t="s">
        <v>669</v>
      </c>
      <c r="DK38" s="16080"/>
      <c r="DL38" s="16080"/>
      <c r="DM38" s="16070" t="s">
        <v>571</v>
      </c>
      <c r="DN38" s="16157"/>
      <c r="DO38" s="16071"/>
      <c r="DP38" s="16137"/>
      <c r="DQ38" s="15992" t="s">
        <v>667</v>
      </c>
      <c r="DR38" s="16080" t="s">
        <v>668</v>
      </c>
      <c r="DS38" s="16080"/>
      <c r="DT38" s="16080"/>
      <c r="DU38" s="16080" t="s">
        <v>669</v>
      </c>
      <c r="DV38" s="16080"/>
      <c r="DW38" s="16080"/>
      <c r="DX38" s="16070" t="s">
        <v>571</v>
      </c>
      <c r="DY38" s="16157"/>
      <c r="DZ38" s="16071"/>
      <c r="EA38" s="16137"/>
      <c r="EB38" s="15992" t="s">
        <v>667</v>
      </c>
      <c r="EC38" s="16080" t="s">
        <v>668</v>
      </c>
      <c r="ED38" s="16080"/>
      <c r="EE38" s="16080"/>
      <c r="EF38" s="16080" t="s">
        <v>669</v>
      </c>
      <c r="EG38" s="16080"/>
      <c r="EH38" s="16080"/>
      <c r="EI38" s="16070" t="s">
        <v>571</v>
      </c>
      <c r="EJ38" s="16157"/>
      <c r="EK38" s="16071"/>
      <c r="EL38" s="16137"/>
      <c r="EM38" s="15992" t="s">
        <v>667</v>
      </c>
      <c r="EN38" s="16080" t="s">
        <v>668</v>
      </c>
      <c r="EO38" s="16080"/>
      <c r="EP38" s="16080"/>
      <c r="EQ38" s="16080" t="s">
        <v>669</v>
      </c>
      <c r="ER38" s="16080"/>
      <c r="ES38" s="16080"/>
      <c r="ET38" s="16070" t="s">
        <v>571</v>
      </c>
      <c r="EU38" s="16157"/>
      <c r="EV38" s="16071"/>
      <c r="EW38" s="16137"/>
      <c r="EX38" s="16140"/>
      <c r="EY38" s="15992"/>
    </row>
    <row r="39" spans="1:160" s="14433" customFormat="1" ht="18.75" customHeight="1">
      <c r="A39" s="1243"/>
      <c r="B39" s="1243"/>
      <c r="C39" s="1243"/>
      <c r="D39" s="1243"/>
      <c r="E39" s="1243"/>
      <c r="F39" s="1243"/>
      <c r="G39" s="1243"/>
      <c r="H39" s="1243"/>
      <c r="I39" s="1243"/>
      <c r="J39" s="1243"/>
      <c r="K39" s="1243"/>
      <c r="L39" s="1811"/>
      <c r="M39" s="1239"/>
      <c r="N39" s="1239"/>
      <c r="O39" s="1239"/>
      <c r="P39" s="1825"/>
      <c r="Q39" s="291"/>
      <c r="R39" s="291"/>
      <c r="S39" s="16132"/>
      <c r="T39" s="16084"/>
      <c r="U39" s="919"/>
      <c r="V39" s="15992"/>
      <c r="W39" s="16080" t="s">
        <v>670</v>
      </c>
      <c r="X39" s="16080" t="s">
        <v>671</v>
      </c>
      <c r="Y39" s="16080"/>
      <c r="Z39" s="16080" t="s">
        <v>672</v>
      </c>
      <c r="AA39" s="16080" t="s">
        <v>671</v>
      </c>
      <c r="AB39" s="16080"/>
      <c r="AC39" s="16075"/>
      <c r="AD39" s="16158"/>
      <c r="AE39" s="16076"/>
      <c r="AF39" s="16137"/>
      <c r="AG39" s="15992"/>
      <c r="AH39" s="16080" t="s">
        <v>670</v>
      </c>
      <c r="AI39" s="16080" t="s">
        <v>671</v>
      </c>
      <c r="AJ39" s="16080"/>
      <c r="AK39" s="16080" t="s">
        <v>672</v>
      </c>
      <c r="AL39" s="16080" t="s">
        <v>671</v>
      </c>
      <c r="AM39" s="16080"/>
      <c r="AN39" s="16075"/>
      <c r="AO39" s="16158"/>
      <c r="AP39" s="16076"/>
      <c r="AQ39" s="16137"/>
      <c r="AR39" s="15992"/>
      <c r="AS39" s="16080" t="s">
        <v>670</v>
      </c>
      <c r="AT39" s="16080" t="s">
        <v>671</v>
      </c>
      <c r="AU39" s="16080"/>
      <c r="AV39" s="16080" t="s">
        <v>672</v>
      </c>
      <c r="AW39" s="16080" t="s">
        <v>671</v>
      </c>
      <c r="AX39" s="16080"/>
      <c r="AY39" s="16075"/>
      <c r="AZ39" s="16158"/>
      <c r="BA39" s="16076"/>
      <c r="BB39" s="16137"/>
      <c r="BC39" s="15992"/>
      <c r="BD39" s="16080" t="s">
        <v>670</v>
      </c>
      <c r="BE39" s="16080" t="s">
        <v>671</v>
      </c>
      <c r="BF39" s="16080"/>
      <c r="BG39" s="16080" t="s">
        <v>672</v>
      </c>
      <c r="BH39" s="16080" t="s">
        <v>671</v>
      </c>
      <c r="BI39" s="16080"/>
      <c r="BJ39" s="16075"/>
      <c r="BK39" s="16158"/>
      <c r="BL39" s="16076"/>
      <c r="BM39" s="16137"/>
      <c r="BN39" s="15992"/>
      <c r="BO39" s="16080" t="s">
        <v>670</v>
      </c>
      <c r="BP39" s="16080" t="s">
        <v>671</v>
      </c>
      <c r="BQ39" s="16080"/>
      <c r="BR39" s="16080" t="s">
        <v>672</v>
      </c>
      <c r="BS39" s="16080" t="s">
        <v>671</v>
      </c>
      <c r="BT39" s="16080"/>
      <c r="BU39" s="16075"/>
      <c r="BV39" s="16158"/>
      <c r="BW39" s="16076"/>
      <c r="BX39" s="16137"/>
      <c r="BY39" s="15992"/>
      <c r="BZ39" s="16080" t="s">
        <v>670</v>
      </c>
      <c r="CA39" s="16080" t="s">
        <v>671</v>
      </c>
      <c r="CB39" s="16080"/>
      <c r="CC39" s="16080" t="s">
        <v>672</v>
      </c>
      <c r="CD39" s="16080" t="s">
        <v>671</v>
      </c>
      <c r="CE39" s="16080"/>
      <c r="CF39" s="16075"/>
      <c r="CG39" s="16158"/>
      <c r="CH39" s="16076"/>
      <c r="CI39" s="16137"/>
      <c r="CJ39" s="15992"/>
      <c r="CK39" s="16080" t="s">
        <v>670</v>
      </c>
      <c r="CL39" s="16080" t="s">
        <v>671</v>
      </c>
      <c r="CM39" s="16080"/>
      <c r="CN39" s="16080" t="s">
        <v>672</v>
      </c>
      <c r="CO39" s="16080" t="s">
        <v>671</v>
      </c>
      <c r="CP39" s="16080"/>
      <c r="CQ39" s="16075"/>
      <c r="CR39" s="16158"/>
      <c r="CS39" s="16076"/>
      <c r="CT39" s="16137"/>
      <c r="CU39" s="15992"/>
      <c r="CV39" s="16080" t="s">
        <v>670</v>
      </c>
      <c r="CW39" s="16080" t="s">
        <v>671</v>
      </c>
      <c r="CX39" s="16080"/>
      <c r="CY39" s="16080" t="s">
        <v>672</v>
      </c>
      <c r="CZ39" s="16080" t="s">
        <v>671</v>
      </c>
      <c r="DA39" s="16080"/>
      <c r="DB39" s="16075"/>
      <c r="DC39" s="16158"/>
      <c r="DD39" s="16076"/>
      <c r="DE39" s="16137"/>
      <c r="DF39" s="15992"/>
      <c r="DG39" s="16080" t="s">
        <v>670</v>
      </c>
      <c r="DH39" s="16080" t="s">
        <v>671</v>
      </c>
      <c r="DI39" s="16080"/>
      <c r="DJ39" s="16080" t="s">
        <v>672</v>
      </c>
      <c r="DK39" s="16080" t="s">
        <v>671</v>
      </c>
      <c r="DL39" s="16080"/>
      <c r="DM39" s="16075"/>
      <c r="DN39" s="16158"/>
      <c r="DO39" s="16076"/>
      <c r="DP39" s="16137"/>
      <c r="DQ39" s="15992"/>
      <c r="DR39" s="16080" t="s">
        <v>670</v>
      </c>
      <c r="DS39" s="16080" t="s">
        <v>671</v>
      </c>
      <c r="DT39" s="16080"/>
      <c r="DU39" s="16080" t="s">
        <v>672</v>
      </c>
      <c r="DV39" s="16080" t="s">
        <v>671</v>
      </c>
      <c r="DW39" s="16080"/>
      <c r="DX39" s="16075"/>
      <c r="DY39" s="16158"/>
      <c r="DZ39" s="16076"/>
      <c r="EA39" s="16137"/>
      <c r="EB39" s="15992"/>
      <c r="EC39" s="16080" t="s">
        <v>670</v>
      </c>
      <c r="ED39" s="16080" t="s">
        <v>671</v>
      </c>
      <c r="EE39" s="16080"/>
      <c r="EF39" s="16080" t="s">
        <v>672</v>
      </c>
      <c r="EG39" s="16080" t="s">
        <v>671</v>
      </c>
      <c r="EH39" s="16080"/>
      <c r="EI39" s="16075"/>
      <c r="EJ39" s="16158"/>
      <c r="EK39" s="16076"/>
      <c r="EL39" s="16137"/>
      <c r="EM39" s="15992"/>
      <c r="EN39" s="16080" t="s">
        <v>670</v>
      </c>
      <c r="EO39" s="16080" t="s">
        <v>671</v>
      </c>
      <c r="EP39" s="16080"/>
      <c r="EQ39" s="16080" t="s">
        <v>672</v>
      </c>
      <c r="ER39" s="16080" t="s">
        <v>671</v>
      </c>
      <c r="ES39" s="16080"/>
      <c r="ET39" s="16075"/>
      <c r="EU39" s="16158"/>
      <c r="EV39" s="16076"/>
      <c r="EW39" s="16137"/>
      <c r="EX39" s="16140"/>
      <c r="EY39" s="15992"/>
      <c r="EZ39" s="1499"/>
      <c r="FA39" s="1499"/>
      <c r="FB39" s="1499"/>
      <c r="FC39" s="1499"/>
      <c r="FD39" s="1499"/>
    </row>
    <row r="40" spans="1:160" ht="59.25" customHeight="1">
      <c r="A40" s="1247"/>
      <c r="B40" s="1247" t="s">
        <v>170</v>
      </c>
      <c r="C40" s="1247" t="s">
        <v>171</v>
      </c>
      <c r="D40" s="1247" t="s">
        <v>172</v>
      </c>
      <c r="E40" s="1241" t="s">
        <v>572</v>
      </c>
      <c r="F40" s="1241" t="s">
        <v>573</v>
      </c>
      <c r="G40" s="1241" t="s">
        <v>574</v>
      </c>
      <c r="H40" s="1241"/>
      <c r="I40" s="1241" t="s">
        <v>625</v>
      </c>
      <c r="J40" s="1241" t="s">
        <v>577</v>
      </c>
      <c r="K40" s="1241" t="s">
        <v>626</v>
      </c>
      <c r="L40" s="1241" t="s">
        <v>553</v>
      </c>
      <c r="Q40" s="291"/>
      <c r="R40" s="291"/>
      <c r="S40" s="16132"/>
      <c r="T40" s="16084"/>
      <c r="U40" s="219"/>
      <c r="V40" s="15992"/>
      <c r="W40" s="16080"/>
      <c r="X40" s="1844" t="s">
        <v>673</v>
      </c>
      <c r="Y40" s="1844" t="s">
        <v>674</v>
      </c>
      <c r="Z40" s="16080"/>
      <c r="AA40" s="1844" t="s">
        <v>675</v>
      </c>
      <c r="AB40" s="1844" t="s">
        <v>676</v>
      </c>
      <c r="AC40" s="1360" t="s">
        <v>581</v>
      </c>
      <c r="AD40" s="16092" t="s">
        <v>582</v>
      </c>
      <c r="AE40" s="16094"/>
      <c r="AF40" s="16138"/>
      <c r="AG40" s="15992"/>
      <c r="AH40" s="16080"/>
      <c r="AI40" s="1844" t="s">
        <v>673</v>
      </c>
      <c r="AJ40" s="1844" t="s">
        <v>674</v>
      </c>
      <c r="AK40" s="16080"/>
      <c r="AL40" s="1844" t="s">
        <v>675</v>
      </c>
      <c r="AM40" s="1844" t="s">
        <v>676</v>
      </c>
      <c r="AN40" s="1360" t="s">
        <v>581</v>
      </c>
      <c r="AO40" s="16092" t="s">
        <v>582</v>
      </c>
      <c r="AP40" s="16094"/>
      <c r="AQ40" s="16138"/>
      <c r="AR40" s="15992"/>
      <c r="AS40" s="16080"/>
      <c r="AT40" s="2200" t="s">
        <v>673</v>
      </c>
      <c r="AU40" s="2200" t="s">
        <v>674</v>
      </c>
      <c r="AV40" s="16080"/>
      <c r="AW40" s="2200" t="s">
        <v>675</v>
      </c>
      <c r="AX40" s="2200" t="s">
        <v>676</v>
      </c>
      <c r="AY40" s="2201" t="s">
        <v>581</v>
      </c>
      <c r="AZ40" s="16092" t="s">
        <v>582</v>
      </c>
      <c r="BA40" s="16094"/>
      <c r="BB40" s="16138"/>
      <c r="BC40" s="15992"/>
      <c r="BD40" s="16080"/>
      <c r="BE40" s="2200" t="s">
        <v>673</v>
      </c>
      <c r="BF40" s="2200" t="s">
        <v>674</v>
      </c>
      <c r="BG40" s="16080"/>
      <c r="BH40" s="2200" t="s">
        <v>675</v>
      </c>
      <c r="BI40" s="2200" t="s">
        <v>676</v>
      </c>
      <c r="BJ40" s="2201" t="s">
        <v>581</v>
      </c>
      <c r="BK40" s="16092" t="s">
        <v>582</v>
      </c>
      <c r="BL40" s="16094"/>
      <c r="BM40" s="16138"/>
      <c r="BN40" s="15992"/>
      <c r="BO40" s="16080"/>
      <c r="BP40" s="2200" t="s">
        <v>673</v>
      </c>
      <c r="BQ40" s="2200" t="s">
        <v>674</v>
      </c>
      <c r="BR40" s="16080"/>
      <c r="BS40" s="2200" t="s">
        <v>675</v>
      </c>
      <c r="BT40" s="2200" t="s">
        <v>676</v>
      </c>
      <c r="BU40" s="2201" t="s">
        <v>581</v>
      </c>
      <c r="BV40" s="16092" t="s">
        <v>582</v>
      </c>
      <c r="BW40" s="16094"/>
      <c r="BX40" s="16138"/>
      <c r="BY40" s="15992"/>
      <c r="BZ40" s="16080"/>
      <c r="CA40" s="2200" t="s">
        <v>673</v>
      </c>
      <c r="CB40" s="2200" t="s">
        <v>674</v>
      </c>
      <c r="CC40" s="16080"/>
      <c r="CD40" s="2200" t="s">
        <v>675</v>
      </c>
      <c r="CE40" s="2200" t="s">
        <v>676</v>
      </c>
      <c r="CF40" s="2201" t="s">
        <v>581</v>
      </c>
      <c r="CG40" s="16092" t="s">
        <v>582</v>
      </c>
      <c r="CH40" s="16094"/>
      <c r="CI40" s="16138"/>
      <c r="CJ40" s="15992"/>
      <c r="CK40" s="16080"/>
      <c r="CL40" s="2200" t="s">
        <v>673</v>
      </c>
      <c r="CM40" s="2200" t="s">
        <v>674</v>
      </c>
      <c r="CN40" s="16080"/>
      <c r="CO40" s="2200" t="s">
        <v>675</v>
      </c>
      <c r="CP40" s="2200" t="s">
        <v>676</v>
      </c>
      <c r="CQ40" s="2201" t="s">
        <v>581</v>
      </c>
      <c r="CR40" s="16092" t="s">
        <v>582</v>
      </c>
      <c r="CS40" s="16094"/>
      <c r="CT40" s="16138"/>
      <c r="CU40" s="15992"/>
      <c r="CV40" s="16080"/>
      <c r="CW40" s="2200" t="s">
        <v>673</v>
      </c>
      <c r="CX40" s="2200" t="s">
        <v>674</v>
      </c>
      <c r="CY40" s="16080"/>
      <c r="CZ40" s="2200" t="s">
        <v>675</v>
      </c>
      <c r="DA40" s="2200" t="s">
        <v>676</v>
      </c>
      <c r="DB40" s="2201" t="s">
        <v>581</v>
      </c>
      <c r="DC40" s="16092" t="s">
        <v>582</v>
      </c>
      <c r="DD40" s="16094"/>
      <c r="DE40" s="16138"/>
      <c r="DF40" s="15992"/>
      <c r="DG40" s="16080"/>
      <c r="DH40" s="2200" t="s">
        <v>673</v>
      </c>
      <c r="DI40" s="2200" t="s">
        <v>674</v>
      </c>
      <c r="DJ40" s="16080"/>
      <c r="DK40" s="2200" t="s">
        <v>675</v>
      </c>
      <c r="DL40" s="2200" t="s">
        <v>676</v>
      </c>
      <c r="DM40" s="2201" t="s">
        <v>581</v>
      </c>
      <c r="DN40" s="16092" t="s">
        <v>582</v>
      </c>
      <c r="DO40" s="16094"/>
      <c r="DP40" s="16138"/>
      <c r="DQ40" s="15992"/>
      <c r="DR40" s="16080"/>
      <c r="DS40" s="2200" t="s">
        <v>673</v>
      </c>
      <c r="DT40" s="2200" t="s">
        <v>674</v>
      </c>
      <c r="DU40" s="16080"/>
      <c r="DV40" s="2200" t="s">
        <v>675</v>
      </c>
      <c r="DW40" s="2200" t="s">
        <v>676</v>
      </c>
      <c r="DX40" s="2201" t="s">
        <v>581</v>
      </c>
      <c r="DY40" s="16092" t="s">
        <v>582</v>
      </c>
      <c r="DZ40" s="16094"/>
      <c r="EA40" s="16138"/>
      <c r="EB40" s="15992"/>
      <c r="EC40" s="16080"/>
      <c r="ED40" s="2200" t="s">
        <v>673</v>
      </c>
      <c r="EE40" s="2200" t="s">
        <v>674</v>
      </c>
      <c r="EF40" s="16080"/>
      <c r="EG40" s="2200" t="s">
        <v>675</v>
      </c>
      <c r="EH40" s="2200" t="s">
        <v>676</v>
      </c>
      <c r="EI40" s="2201" t="s">
        <v>581</v>
      </c>
      <c r="EJ40" s="16092" t="s">
        <v>582</v>
      </c>
      <c r="EK40" s="16094"/>
      <c r="EL40" s="16138"/>
      <c r="EM40" s="15992"/>
      <c r="EN40" s="16080"/>
      <c r="EO40" s="14491" t="s">
        <v>673</v>
      </c>
      <c r="EP40" s="14491" t="s">
        <v>674</v>
      </c>
      <c r="EQ40" s="16080"/>
      <c r="ER40" s="14491" t="s">
        <v>675</v>
      </c>
      <c r="ES40" s="14491" t="s">
        <v>676</v>
      </c>
      <c r="ET40" s="14492" t="s">
        <v>581</v>
      </c>
      <c r="EU40" s="16092" t="s">
        <v>582</v>
      </c>
      <c r="EV40" s="16094"/>
      <c r="EW40" s="16138"/>
      <c r="EX40" s="16141"/>
      <c r="EY40" s="15992"/>
    </row>
    <row r="41" spans="1:160" s="14405" customFormat="1" ht="11.25" hidden="1" customHeight="1">
      <c r="A41" s="1247"/>
      <c r="B41" s="1247"/>
      <c r="C41" s="1247"/>
      <c r="D41" s="1247"/>
      <c r="E41" s="1247"/>
      <c r="F41" s="1247"/>
      <c r="G41" s="1247"/>
      <c r="H41" s="1247"/>
      <c r="I41" s="1247"/>
      <c r="J41" s="1247"/>
      <c r="K41" s="1247"/>
      <c r="L41" s="1241"/>
      <c r="M41" s="1239"/>
      <c r="N41" s="1239"/>
      <c r="O41" s="1239"/>
      <c r="P41" s="1128"/>
      <c r="Q41" s="1129"/>
      <c r="R41" s="1136">
        <v>1</v>
      </c>
      <c r="S41" s="1159" t="s">
        <v>147</v>
      </c>
      <c r="T41" s="1137" t="s">
        <v>102</v>
      </c>
      <c r="U41" s="1127" t="str">
        <f ca="1">OFFSET(U41,0,-1)</f>
        <v>2</v>
      </c>
      <c r="V41" s="1353">
        <f ca="1">OFFSET(V41,0,-1)+1</f>
        <v>3</v>
      </c>
      <c r="W41" s="1219"/>
      <c r="X41" s="1219"/>
      <c r="Y41" s="1219"/>
      <c r="Z41" s="1219"/>
      <c r="AA41" s="1219"/>
      <c r="AB41" s="1219"/>
      <c r="AC41" s="1353">
        <f ca="1">OFFSET(AC41,0,-1)+1</f>
        <v>1</v>
      </c>
      <c r="AD41" s="16131">
        <f ca="1">OFFSET(AD41,0,-1)+1</f>
        <v>2</v>
      </c>
      <c r="AE41" s="16131"/>
      <c r="AF41" s="1353">
        <f ca="1">OFFSET(AF41,0,-2)+1</f>
        <v>3</v>
      </c>
      <c r="AG41" s="1353">
        <f ca="1">OFFSET(AG41,0,-1)+1</f>
        <v>4</v>
      </c>
      <c r="AH41" s="1816"/>
      <c r="AI41" s="1816"/>
      <c r="AJ41" s="1816"/>
      <c r="AK41" s="1816"/>
      <c r="AL41" s="1816"/>
      <c r="AM41" s="1353">
        <f ca="1">OFFSET(AM41,0,-1)+1</f>
        <v>1</v>
      </c>
      <c r="AN41" s="1353">
        <f ca="1">OFFSET(AN41,0,-1)+1</f>
        <v>2</v>
      </c>
      <c r="AO41" s="16131">
        <f ca="1">OFFSET(AO41,0,-1)+1</f>
        <v>3</v>
      </c>
      <c r="AP41" s="16131"/>
      <c r="AQ41" s="1353">
        <f ca="1">OFFSET(AQ41,0,-2)+1</f>
        <v>4</v>
      </c>
      <c r="AR41" s="2203">
        <f ca="1">OFFSET(AR41,0,-1)+1</f>
        <v>5</v>
      </c>
      <c r="AS41" s="2204"/>
      <c r="AT41" s="2204"/>
      <c r="AU41" s="2204"/>
      <c r="AV41" s="2204"/>
      <c r="AW41" s="2204"/>
      <c r="AX41" s="2204"/>
      <c r="AY41" s="2203">
        <f ca="1">OFFSET(AY41,0,-1)+1</f>
        <v>1</v>
      </c>
      <c r="AZ41" s="16131">
        <f ca="1">OFFSET(AZ41,0,-1)+1</f>
        <v>2</v>
      </c>
      <c r="BA41" s="16131"/>
      <c r="BB41" s="2203">
        <f ca="1">OFFSET(BB41,0,-2)+1</f>
        <v>3</v>
      </c>
      <c r="BC41" s="2203">
        <f ca="1">OFFSET(BC41,0,-1)+1</f>
        <v>4</v>
      </c>
      <c r="BD41" s="2204"/>
      <c r="BE41" s="2204"/>
      <c r="BF41" s="2204"/>
      <c r="BG41" s="2204"/>
      <c r="BH41" s="2204"/>
      <c r="BI41" s="2204"/>
      <c r="BJ41" s="2203">
        <f ca="1">OFFSET(BJ41,0,-1)+1</f>
        <v>1</v>
      </c>
      <c r="BK41" s="16131">
        <f ca="1">OFFSET(BK41,0,-1)+1</f>
        <v>2</v>
      </c>
      <c r="BL41" s="16131"/>
      <c r="BM41" s="2203">
        <f ca="1">OFFSET(BM41,0,-2)+1</f>
        <v>3</v>
      </c>
      <c r="BN41" s="2203">
        <f ca="1">OFFSET(BN41,0,-1)+1</f>
        <v>4</v>
      </c>
      <c r="BO41" s="2204"/>
      <c r="BP41" s="2204"/>
      <c r="BQ41" s="2204"/>
      <c r="BR41" s="2204"/>
      <c r="BS41" s="2204"/>
      <c r="BT41" s="2204"/>
      <c r="BU41" s="2203">
        <f ca="1">OFFSET(BU41,0,-1)+1</f>
        <v>1</v>
      </c>
      <c r="BV41" s="16131">
        <f ca="1">OFFSET(BV41,0,-1)+1</f>
        <v>2</v>
      </c>
      <c r="BW41" s="16131"/>
      <c r="BX41" s="2203">
        <f ca="1">OFFSET(BX41,0,-2)+1</f>
        <v>3</v>
      </c>
      <c r="BY41" s="2203">
        <f ca="1">OFFSET(BY41,0,-1)+1</f>
        <v>4</v>
      </c>
      <c r="BZ41" s="2204"/>
      <c r="CA41" s="2204"/>
      <c r="CB41" s="2204"/>
      <c r="CC41" s="2204"/>
      <c r="CD41" s="2204"/>
      <c r="CE41" s="2204"/>
      <c r="CF41" s="2203">
        <f ca="1">OFFSET(CF41,0,-1)+1</f>
        <v>1</v>
      </c>
      <c r="CG41" s="16131">
        <f ca="1">OFFSET(CG41,0,-1)+1</f>
        <v>2</v>
      </c>
      <c r="CH41" s="16131"/>
      <c r="CI41" s="2203">
        <f ca="1">OFFSET(CI41,0,-2)+1</f>
        <v>3</v>
      </c>
      <c r="CJ41" s="2203">
        <f ca="1">OFFSET(CJ41,0,-1)+1</f>
        <v>4</v>
      </c>
      <c r="CK41" s="2204"/>
      <c r="CL41" s="2204"/>
      <c r="CM41" s="2204"/>
      <c r="CN41" s="2204"/>
      <c r="CO41" s="2204"/>
      <c r="CP41" s="2204"/>
      <c r="CQ41" s="2203">
        <f ca="1">OFFSET(CQ41,0,-1)+1</f>
        <v>1</v>
      </c>
      <c r="CR41" s="16131">
        <f ca="1">OFFSET(CR41,0,-1)+1</f>
        <v>2</v>
      </c>
      <c r="CS41" s="16131"/>
      <c r="CT41" s="2203">
        <f ca="1">OFFSET(CT41,0,-2)+1</f>
        <v>3</v>
      </c>
      <c r="CU41" s="2203">
        <f ca="1">OFFSET(CU41,0,-1)+1</f>
        <v>4</v>
      </c>
      <c r="CV41" s="2204"/>
      <c r="CW41" s="2204"/>
      <c r="CX41" s="2204"/>
      <c r="CY41" s="2204"/>
      <c r="CZ41" s="2204"/>
      <c r="DA41" s="2204"/>
      <c r="DB41" s="2203">
        <f ca="1">OFFSET(DB41,0,-1)+1</f>
        <v>1</v>
      </c>
      <c r="DC41" s="16131">
        <f ca="1">OFFSET(DC41,0,-1)+1</f>
        <v>2</v>
      </c>
      <c r="DD41" s="16131"/>
      <c r="DE41" s="2203">
        <f ca="1">OFFSET(DE41,0,-2)+1</f>
        <v>3</v>
      </c>
      <c r="DF41" s="2203">
        <f ca="1">OFFSET(DF41,0,-1)+1</f>
        <v>4</v>
      </c>
      <c r="DG41" s="2204"/>
      <c r="DH41" s="2204"/>
      <c r="DI41" s="2204"/>
      <c r="DJ41" s="2204"/>
      <c r="DK41" s="2204"/>
      <c r="DL41" s="2204"/>
      <c r="DM41" s="2203">
        <f ca="1">OFFSET(DM41,0,-1)+1</f>
        <v>1</v>
      </c>
      <c r="DN41" s="16131">
        <f ca="1">OFFSET(DN41,0,-1)+1</f>
        <v>2</v>
      </c>
      <c r="DO41" s="16131"/>
      <c r="DP41" s="2203">
        <f ca="1">OFFSET(DP41,0,-2)+1</f>
        <v>3</v>
      </c>
      <c r="DQ41" s="2203">
        <f ca="1">OFFSET(DQ41,0,-1)+1</f>
        <v>4</v>
      </c>
      <c r="DR41" s="2204"/>
      <c r="DS41" s="2204"/>
      <c r="DT41" s="2204"/>
      <c r="DU41" s="2204"/>
      <c r="DV41" s="2204"/>
      <c r="DW41" s="2204"/>
      <c r="DX41" s="2203">
        <f ca="1">OFFSET(DX41,0,-1)+1</f>
        <v>1</v>
      </c>
      <c r="DY41" s="16131">
        <f ca="1">OFFSET(DY41,0,-1)+1</f>
        <v>2</v>
      </c>
      <c r="DZ41" s="16131"/>
      <c r="EA41" s="2203">
        <f ca="1">OFFSET(EA41,0,-2)+1</f>
        <v>3</v>
      </c>
      <c r="EB41" s="2203">
        <f ca="1">OFFSET(EB41,0,-1)+1</f>
        <v>4</v>
      </c>
      <c r="EC41" s="2204"/>
      <c r="ED41" s="2204"/>
      <c r="EE41" s="2204"/>
      <c r="EF41" s="2204"/>
      <c r="EG41" s="2204"/>
      <c r="EH41" s="2204"/>
      <c r="EI41" s="2203">
        <f ca="1">OFFSET(EI41,0,-1)+1</f>
        <v>1</v>
      </c>
      <c r="EJ41" s="16131">
        <f ca="1">OFFSET(EJ41,0,-1)+1</f>
        <v>2</v>
      </c>
      <c r="EK41" s="16131"/>
      <c r="EL41" s="2203">
        <f ca="1">OFFSET(EL41,0,-2)+1</f>
        <v>3</v>
      </c>
      <c r="EM41" s="14493">
        <f ca="1">OFFSET(EM41,0,-1)+1</f>
        <v>4</v>
      </c>
      <c r="EN41" s="14494"/>
      <c r="EO41" s="14494"/>
      <c r="EP41" s="14494"/>
      <c r="EQ41" s="14494"/>
      <c r="ER41" s="14494"/>
      <c r="ES41" s="14494"/>
      <c r="ET41" s="14493">
        <f ca="1">OFFSET(ET41,0,-1)+1</f>
        <v>1</v>
      </c>
      <c r="EU41" s="16131">
        <f ca="1">OFFSET(EU41,0,-1)+1</f>
        <v>2</v>
      </c>
      <c r="EV41" s="16131"/>
      <c r="EW41" s="14493">
        <f ca="1">OFFSET(EW41,0,-2)+1</f>
        <v>3</v>
      </c>
      <c r="EX41" s="1127">
        <f ca="1">OFFSET(EX41,0,-1)</f>
        <v>3</v>
      </c>
      <c r="EY41" s="1353">
        <f ca="1">OFFSET(EY41,0,-1)+1</f>
        <v>4</v>
      </c>
      <c r="EZ41" s="418"/>
      <c r="FA41" s="418"/>
      <c r="FB41" s="418"/>
      <c r="FC41" s="418"/>
      <c r="FD41" s="418"/>
    </row>
    <row r="42" spans="1:160" ht="23.25" customHeight="1">
      <c r="A42" s="1240" t="s">
        <v>284</v>
      </c>
      <c r="B42" s="1240"/>
      <c r="C42" s="1240"/>
      <c r="D42" s="1240"/>
      <c r="E42" s="16124">
        <v>1</v>
      </c>
      <c r="F42" s="1240"/>
      <c r="G42" s="1240"/>
      <c r="H42" s="1240"/>
      <c r="I42" s="1240"/>
      <c r="J42" s="1240"/>
      <c r="K42" s="1240"/>
      <c r="L42" s="1241"/>
      <c r="M42" s="1242"/>
      <c r="N42" s="1242"/>
      <c r="O42" s="1242"/>
      <c r="P42" s="277"/>
      <c r="Q42" s="276"/>
      <c r="R42" s="271"/>
      <c r="S42" s="1364">
        <f>INDEX(PT_DIFFERENTIATION_NUM_NTAR,MATCH(A42,PT_DIFFERENTIATION_NTAR_ID,0))</f>
        <v>1</v>
      </c>
      <c r="T42" s="215" t="s">
        <v>158</v>
      </c>
      <c r="U42" s="217"/>
      <c r="V42" s="16110"/>
      <c r="W42" s="16111"/>
      <c r="X42" s="16111"/>
      <c r="Y42" s="16111"/>
      <c r="Z42" s="16111"/>
      <c r="AA42" s="16111"/>
      <c r="AB42" s="16111"/>
      <c r="AC42" s="16111"/>
      <c r="AD42" s="16111"/>
      <c r="AE42" s="16111"/>
      <c r="AF42" s="16112"/>
      <c r="AG42" s="16110" t="str">
        <f>INDEX(PT_DIFFERENTIATION_NTAR,MATCH(A42,PT_DIFFERENTIATION_NTAR_ID,0))</f>
        <v>Тариф на горячую воду в закрытой системе горячего водоснабжения, поставляемую группе потребителей "население"</v>
      </c>
      <c r="AH42" s="16111"/>
      <c r="AI42" s="16111"/>
      <c r="AJ42" s="16111"/>
      <c r="AK42" s="16111"/>
      <c r="AL42" s="16111"/>
      <c r="AM42" s="16111"/>
      <c r="AN42" s="16111"/>
      <c r="AO42" s="16111"/>
      <c r="AP42" s="16111"/>
      <c r="AQ42" s="16111"/>
      <c r="AR42" s="16110"/>
      <c r="AS42" s="16111"/>
      <c r="AT42" s="16111"/>
      <c r="AU42" s="16111"/>
      <c r="AV42" s="16111"/>
      <c r="AW42" s="16111"/>
      <c r="AX42" s="16111"/>
      <c r="AY42" s="16111"/>
      <c r="AZ42" s="16111"/>
      <c r="BA42" s="16111"/>
      <c r="BB42" s="16112"/>
      <c r="BC42" s="16110"/>
      <c r="BD42" s="16111"/>
      <c r="BE42" s="16111"/>
      <c r="BF42" s="16111"/>
      <c r="BG42" s="16111"/>
      <c r="BH42" s="16111"/>
      <c r="BI42" s="16111"/>
      <c r="BJ42" s="16111"/>
      <c r="BK42" s="16111"/>
      <c r="BL42" s="16111"/>
      <c r="BM42" s="16112"/>
      <c r="BN42" s="16110"/>
      <c r="BO42" s="16111"/>
      <c r="BP42" s="16111"/>
      <c r="BQ42" s="16111"/>
      <c r="BR42" s="16111"/>
      <c r="BS42" s="16111"/>
      <c r="BT42" s="16111"/>
      <c r="BU42" s="16111"/>
      <c r="BV42" s="16111"/>
      <c r="BW42" s="16111"/>
      <c r="BX42" s="16112"/>
      <c r="BY42" s="16110"/>
      <c r="BZ42" s="16111"/>
      <c r="CA42" s="16111"/>
      <c r="CB42" s="16111"/>
      <c r="CC42" s="16111"/>
      <c r="CD42" s="16111"/>
      <c r="CE42" s="16111"/>
      <c r="CF42" s="16111"/>
      <c r="CG42" s="16111"/>
      <c r="CH42" s="16111"/>
      <c r="CI42" s="16112"/>
      <c r="CJ42" s="16110"/>
      <c r="CK42" s="16111"/>
      <c r="CL42" s="16111"/>
      <c r="CM42" s="16111"/>
      <c r="CN42" s="16111"/>
      <c r="CO42" s="16111"/>
      <c r="CP42" s="16111"/>
      <c r="CQ42" s="16111"/>
      <c r="CR42" s="16111"/>
      <c r="CS42" s="16111"/>
      <c r="CT42" s="16112"/>
      <c r="CU42" s="16110"/>
      <c r="CV42" s="16111"/>
      <c r="CW42" s="16111"/>
      <c r="CX42" s="16111"/>
      <c r="CY42" s="16111"/>
      <c r="CZ42" s="16111"/>
      <c r="DA42" s="16111"/>
      <c r="DB42" s="16111"/>
      <c r="DC42" s="16111"/>
      <c r="DD42" s="16111"/>
      <c r="DE42" s="16112"/>
      <c r="DF42" s="16110"/>
      <c r="DG42" s="16111"/>
      <c r="DH42" s="16111"/>
      <c r="DI42" s="16111"/>
      <c r="DJ42" s="16111"/>
      <c r="DK42" s="16111"/>
      <c r="DL42" s="16111"/>
      <c r="DM42" s="16111"/>
      <c r="DN42" s="16111"/>
      <c r="DO42" s="16111"/>
      <c r="DP42" s="16112"/>
      <c r="DQ42" s="16110"/>
      <c r="DR42" s="16111"/>
      <c r="DS42" s="16111"/>
      <c r="DT42" s="16111"/>
      <c r="DU42" s="16111"/>
      <c r="DV42" s="16111"/>
      <c r="DW42" s="16111"/>
      <c r="DX42" s="16111"/>
      <c r="DY42" s="16111"/>
      <c r="DZ42" s="16111"/>
      <c r="EA42" s="16112"/>
      <c r="EB42" s="16110"/>
      <c r="EC42" s="16111"/>
      <c r="ED42" s="16111"/>
      <c r="EE42" s="16111"/>
      <c r="EF42" s="16111"/>
      <c r="EG42" s="16111"/>
      <c r="EH42" s="16111"/>
      <c r="EI42" s="16111"/>
      <c r="EJ42" s="16111"/>
      <c r="EK42" s="16111"/>
      <c r="EL42" s="16112"/>
      <c r="EM42" s="16110"/>
      <c r="EN42" s="16111"/>
      <c r="EO42" s="16111"/>
      <c r="EP42" s="16111"/>
      <c r="EQ42" s="16111"/>
      <c r="ER42" s="16111"/>
      <c r="ES42" s="16111"/>
      <c r="ET42" s="16111"/>
      <c r="EU42" s="16111"/>
      <c r="EV42" s="16111"/>
      <c r="EW42" s="16112"/>
      <c r="EX42" s="16112"/>
      <c r="EY4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FA42" s="407"/>
      <c r="FB42" s="407" t="str">
        <f t="shared" ref="FB42:FB105" si="1">IF(T42="","",T42)</f>
        <v>Наименование тарифа</v>
      </c>
      <c r="FC42" s="407"/>
      <c r="FD42" s="407"/>
    </row>
    <row r="43" spans="1:160" ht="23.25" customHeight="1">
      <c r="A43" s="1240" t="s">
        <v>284</v>
      </c>
      <c r="B43" s="1240" t="s">
        <v>285</v>
      </c>
      <c r="C43" s="1240"/>
      <c r="D43" s="1240"/>
      <c r="E43" s="16125"/>
      <c r="F43" s="16124">
        <v>1</v>
      </c>
      <c r="G43" s="1240"/>
      <c r="H43" s="1240"/>
      <c r="I43" s="1240"/>
      <c r="J43" s="1240"/>
      <c r="K43" s="1240"/>
      <c r="L43" s="1241"/>
      <c r="M43" s="1242"/>
      <c r="N43" s="1242"/>
      <c r="O43" s="1242"/>
      <c r="P43" s="1358"/>
      <c r="Q43" s="268"/>
      <c r="R43" s="269"/>
      <c r="S43" s="1364" t="str">
        <f>INDEX(PT_DIFFERENTIATION_NUM_TER,MATCH(B43,PT_DIFFERENTIATION_TER_ID,0))</f>
        <v>1.1</v>
      </c>
      <c r="T43" s="225" t="s">
        <v>534</v>
      </c>
      <c r="U43" s="217"/>
      <c r="V43" s="16110"/>
      <c r="W43" s="16111"/>
      <c r="X43" s="16111"/>
      <c r="Y43" s="16111"/>
      <c r="Z43" s="16111"/>
      <c r="AA43" s="16111"/>
      <c r="AB43" s="16111"/>
      <c r="AC43" s="16111"/>
      <c r="AD43" s="16111"/>
      <c r="AE43" s="16111"/>
      <c r="AF43" s="16112"/>
      <c r="AG43" s="16110" t="str">
        <f>INDEX(PT_DIFFERENTIATION_TER,MATCH(B43,PT_DIFFERENTIATION_TER_ID,0))</f>
        <v>Территория 1</v>
      </c>
      <c r="AH43" s="16111"/>
      <c r="AI43" s="16111"/>
      <c r="AJ43" s="16111"/>
      <c r="AK43" s="16111"/>
      <c r="AL43" s="16111"/>
      <c r="AM43" s="16111"/>
      <c r="AN43" s="16111"/>
      <c r="AO43" s="16111"/>
      <c r="AP43" s="16111"/>
      <c r="AQ43" s="16111"/>
      <c r="AR43" s="16110"/>
      <c r="AS43" s="16111"/>
      <c r="AT43" s="16111"/>
      <c r="AU43" s="16111"/>
      <c r="AV43" s="16111"/>
      <c r="AW43" s="16111"/>
      <c r="AX43" s="16111"/>
      <c r="AY43" s="16111"/>
      <c r="AZ43" s="16111"/>
      <c r="BA43" s="16111"/>
      <c r="BB43" s="16112"/>
      <c r="BC43" s="16110"/>
      <c r="BD43" s="16111"/>
      <c r="BE43" s="16111"/>
      <c r="BF43" s="16111"/>
      <c r="BG43" s="16111"/>
      <c r="BH43" s="16111"/>
      <c r="BI43" s="16111"/>
      <c r="BJ43" s="16111"/>
      <c r="BK43" s="16111"/>
      <c r="BL43" s="16111"/>
      <c r="BM43" s="16112"/>
      <c r="BN43" s="16110"/>
      <c r="BO43" s="16111"/>
      <c r="BP43" s="16111"/>
      <c r="BQ43" s="16111"/>
      <c r="BR43" s="16111"/>
      <c r="BS43" s="16111"/>
      <c r="BT43" s="16111"/>
      <c r="BU43" s="16111"/>
      <c r="BV43" s="16111"/>
      <c r="BW43" s="16111"/>
      <c r="BX43" s="16112"/>
      <c r="BY43" s="16110"/>
      <c r="BZ43" s="16111"/>
      <c r="CA43" s="16111"/>
      <c r="CB43" s="16111"/>
      <c r="CC43" s="16111"/>
      <c r="CD43" s="16111"/>
      <c r="CE43" s="16111"/>
      <c r="CF43" s="16111"/>
      <c r="CG43" s="16111"/>
      <c r="CH43" s="16111"/>
      <c r="CI43" s="16112"/>
      <c r="CJ43" s="16110"/>
      <c r="CK43" s="16111"/>
      <c r="CL43" s="16111"/>
      <c r="CM43" s="16111"/>
      <c r="CN43" s="16111"/>
      <c r="CO43" s="16111"/>
      <c r="CP43" s="16111"/>
      <c r="CQ43" s="16111"/>
      <c r="CR43" s="16111"/>
      <c r="CS43" s="16111"/>
      <c r="CT43" s="16112"/>
      <c r="CU43" s="16110"/>
      <c r="CV43" s="16111"/>
      <c r="CW43" s="16111"/>
      <c r="CX43" s="16111"/>
      <c r="CY43" s="16111"/>
      <c r="CZ43" s="16111"/>
      <c r="DA43" s="16111"/>
      <c r="DB43" s="16111"/>
      <c r="DC43" s="16111"/>
      <c r="DD43" s="16111"/>
      <c r="DE43" s="16112"/>
      <c r="DF43" s="16110"/>
      <c r="DG43" s="16111"/>
      <c r="DH43" s="16111"/>
      <c r="DI43" s="16111"/>
      <c r="DJ43" s="16111"/>
      <c r="DK43" s="16111"/>
      <c r="DL43" s="16111"/>
      <c r="DM43" s="16111"/>
      <c r="DN43" s="16111"/>
      <c r="DO43" s="16111"/>
      <c r="DP43" s="16112"/>
      <c r="DQ43" s="16110"/>
      <c r="DR43" s="16111"/>
      <c r="DS43" s="16111"/>
      <c r="DT43" s="16111"/>
      <c r="DU43" s="16111"/>
      <c r="DV43" s="16111"/>
      <c r="DW43" s="16111"/>
      <c r="DX43" s="16111"/>
      <c r="DY43" s="16111"/>
      <c r="DZ43" s="16111"/>
      <c r="EA43" s="16112"/>
      <c r="EB43" s="16110"/>
      <c r="EC43" s="16111"/>
      <c r="ED43" s="16111"/>
      <c r="EE43" s="16111"/>
      <c r="EF43" s="16111"/>
      <c r="EG43" s="16111"/>
      <c r="EH43" s="16111"/>
      <c r="EI43" s="16111"/>
      <c r="EJ43" s="16111"/>
      <c r="EK43" s="16111"/>
      <c r="EL43" s="16112"/>
      <c r="EM43" s="16110"/>
      <c r="EN43" s="16111"/>
      <c r="EO43" s="16111"/>
      <c r="EP43" s="16111"/>
      <c r="EQ43" s="16111"/>
      <c r="ER43" s="16111"/>
      <c r="ES43" s="16111"/>
      <c r="ET43" s="16111"/>
      <c r="EU43" s="16111"/>
      <c r="EV43" s="16111"/>
      <c r="EW43" s="16112"/>
      <c r="EX43" s="16112"/>
      <c r="EY43" s="1140" t="s">
        <v>535</v>
      </c>
      <c r="FA43" s="407"/>
      <c r="FB43" s="407" t="str">
        <f t="shared" si="1"/>
        <v>Территория действия тарифа</v>
      </c>
      <c r="FC43" s="407"/>
      <c r="FD43" s="407"/>
    </row>
    <row r="44" spans="1:160" ht="23.25" customHeight="1">
      <c r="A44" s="1240" t="s">
        <v>284</v>
      </c>
      <c r="B44" s="1240" t="s">
        <v>285</v>
      </c>
      <c r="C44" s="1240" t="s">
        <v>286</v>
      </c>
      <c r="D44" s="1240"/>
      <c r="E44" s="16125"/>
      <c r="F44" s="16125"/>
      <c r="G44" s="16124">
        <v>1</v>
      </c>
      <c r="H44" s="1240"/>
      <c r="I44" s="1240"/>
      <c r="J44" s="1240"/>
      <c r="K44" s="1240"/>
      <c r="L44" s="1241"/>
      <c r="M44" s="1242"/>
      <c r="N44" s="1242"/>
      <c r="O44" s="1242"/>
      <c r="P44" s="270"/>
      <c r="Q44" s="268"/>
      <c r="R44" s="269"/>
      <c r="S44" s="1364" t="str">
        <f>INDEX(PT_DIFFERENTIATION_NUM_CS,MATCH(C44,PT_DIFFERENTIATION_CS_ID,0))</f>
        <v>1.1.1</v>
      </c>
      <c r="T44" s="226" t="s">
        <v>665</v>
      </c>
      <c r="U44" s="217"/>
      <c r="V44" s="16110"/>
      <c r="W44" s="16111"/>
      <c r="X44" s="16111"/>
      <c r="Y44" s="16111"/>
      <c r="Z44" s="16111"/>
      <c r="AA44" s="16111"/>
      <c r="AB44" s="16111"/>
      <c r="AC44" s="16111"/>
      <c r="AD44" s="16111"/>
      <c r="AE44" s="16111"/>
      <c r="AF44" s="16112"/>
      <c r="AG44" s="16110" t="str">
        <f>INDEX(PT_DIFFERENTIATION_CS,MATCH(C44,PT_DIFFERENTIATION_CS_ID,0))</f>
        <v>городской округ город-герой Мурманск (р-н Росляково)</v>
      </c>
      <c r="AH44" s="16111"/>
      <c r="AI44" s="16111"/>
      <c r="AJ44" s="16111"/>
      <c r="AK44" s="16111"/>
      <c r="AL44" s="16111"/>
      <c r="AM44" s="16111"/>
      <c r="AN44" s="16111"/>
      <c r="AO44" s="16111"/>
      <c r="AP44" s="16111"/>
      <c r="AQ44" s="16111"/>
      <c r="AR44" s="16110"/>
      <c r="AS44" s="16111"/>
      <c r="AT44" s="16111"/>
      <c r="AU44" s="16111"/>
      <c r="AV44" s="16111"/>
      <c r="AW44" s="16111"/>
      <c r="AX44" s="16111"/>
      <c r="AY44" s="16111"/>
      <c r="AZ44" s="16111"/>
      <c r="BA44" s="16111"/>
      <c r="BB44" s="16112"/>
      <c r="BC44" s="16110"/>
      <c r="BD44" s="16111"/>
      <c r="BE44" s="16111"/>
      <c r="BF44" s="16111"/>
      <c r="BG44" s="16111"/>
      <c r="BH44" s="16111"/>
      <c r="BI44" s="16111"/>
      <c r="BJ44" s="16111"/>
      <c r="BK44" s="16111"/>
      <c r="BL44" s="16111"/>
      <c r="BM44" s="16112"/>
      <c r="BN44" s="16110"/>
      <c r="BO44" s="16111"/>
      <c r="BP44" s="16111"/>
      <c r="BQ44" s="16111"/>
      <c r="BR44" s="16111"/>
      <c r="BS44" s="16111"/>
      <c r="BT44" s="16111"/>
      <c r="BU44" s="16111"/>
      <c r="BV44" s="16111"/>
      <c r="BW44" s="16111"/>
      <c r="BX44" s="16112"/>
      <c r="BY44" s="16110"/>
      <c r="BZ44" s="16111"/>
      <c r="CA44" s="16111"/>
      <c r="CB44" s="16111"/>
      <c r="CC44" s="16111"/>
      <c r="CD44" s="16111"/>
      <c r="CE44" s="16111"/>
      <c r="CF44" s="16111"/>
      <c r="CG44" s="16111"/>
      <c r="CH44" s="16111"/>
      <c r="CI44" s="16112"/>
      <c r="CJ44" s="16110"/>
      <c r="CK44" s="16111"/>
      <c r="CL44" s="16111"/>
      <c r="CM44" s="16111"/>
      <c r="CN44" s="16111"/>
      <c r="CO44" s="16111"/>
      <c r="CP44" s="16111"/>
      <c r="CQ44" s="16111"/>
      <c r="CR44" s="16111"/>
      <c r="CS44" s="16111"/>
      <c r="CT44" s="16112"/>
      <c r="CU44" s="16110"/>
      <c r="CV44" s="16111"/>
      <c r="CW44" s="16111"/>
      <c r="CX44" s="16111"/>
      <c r="CY44" s="16111"/>
      <c r="CZ44" s="16111"/>
      <c r="DA44" s="16111"/>
      <c r="DB44" s="16111"/>
      <c r="DC44" s="16111"/>
      <c r="DD44" s="16111"/>
      <c r="DE44" s="16112"/>
      <c r="DF44" s="16110"/>
      <c r="DG44" s="16111"/>
      <c r="DH44" s="16111"/>
      <c r="DI44" s="16111"/>
      <c r="DJ44" s="16111"/>
      <c r="DK44" s="16111"/>
      <c r="DL44" s="16111"/>
      <c r="DM44" s="16111"/>
      <c r="DN44" s="16111"/>
      <c r="DO44" s="16111"/>
      <c r="DP44" s="16112"/>
      <c r="DQ44" s="16110"/>
      <c r="DR44" s="16111"/>
      <c r="DS44" s="16111"/>
      <c r="DT44" s="16111"/>
      <c r="DU44" s="16111"/>
      <c r="DV44" s="16111"/>
      <c r="DW44" s="16111"/>
      <c r="DX44" s="16111"/>
      <c r="DY44" s="16111"/>
      <c r="DZ44" s="16111"/>
      <c r="EA44" s="16112"/>
      <c r="EB44" s="16110"/>
      <c r="EC44" s="16111"/>
      <c r="ED44" s="16111"/>
      <c r="EE44" s="16111"/>
      <c r="EF44" s="16111"/>
      <c r="EG44" s="16111"/>
      <c r="EH44" s="16111"/>
      <c r="EI44" s="16111"/>
      <c r="EJ44" s="16111"/>
      <c r="EK44" s="16111"/>
      <c r="EL44" s="16112"/>
      <c r="EM44" s="16110"/>
      <c r="EN44" s="16111"/>
      <c r="EO44" s="16111"/>
      <c r="EP44" s="16111"/>
      <c r="EQ44" s="16111"/>
      <c r="ER44" s="16111"/>
      <c r="ES44" s="16111"/>
      <c r="ET44" s="16111"/>
      <c r="EU44" s="16111"/>
      <c r="EV44" s="16111"/>
      <c r="EW44" s="16112"/>
      <c r="EX44" s="16112"/>
      <c r="EY44" s="1140" t="s">
        <v>666</v>
      </c>
      <c r="FA44" s="407"/>
      <c r="FB44" s="407" t="str">
        <f t="shared" si="1"/>
        <v>Наименование централизованной системы горячего водоснабжения</v>
      </c>
      <c r="FC44" s="407"/>
      <c r="FD44" s="407"/>
    </row>
    <row r="45" spans="1:160" ht="23.25" customHeight="1">
      <c r="A45" s="1240" t="s">
        <v>284</v>
      </c>
      <c r="B45" s="1240" t="s">
        <v>285</v>
      </c>
      <c r="C45" s="1240" t="s">
        <v>286</v>
      </c>
      <c r="D45" s="1240" t="s">
        <v>677</v>
      </c>
      <c r="E45" s="16125"/>
      <c r="F45" s="16125"/>
      <c r="G45" s="16125"/>
      <c r="H45" s="16125"/>
      <c r="I45" s="16122" t="str">
        <f>S44&amp;".1"</f>
        <v>1.1.1.1</v>
      </c>
      <c r="J45" s="1240"/>
      <c r="K45" s="1240"/>
      <c r="L45" s="1241"/>
      <c r="P45" s="16123">
        <v>1</v>
      </c>
      <c r="Q45" s="1352"/>
      <c r="R45" s="272"/>
      <c r="S45" s="1364" t="str">
        <f>$I45</f>
        <v>1.1.1.1</v>
      </c>
      <c r="T45" s="202" t="s">
        <v>618</v>
      </c>
      <c r="U45" s="217"/>
      <c r="V45" s="16183"/>
      <c r="W45" s="16184"/>
      <c r="X45" s="16184"/>
      <c r="Y45" s="16184"/>
      <c r="Z45" s="16184"/>
      <c r="AA45" s="16184"/>
      <c r="AB45" s="16184"/>
      <c r="AC45" s="16184"/>
      <c r="AD45" s="16184"/>
      <c r="AE45" s="16184"/>
      <c r="AF45" s="16185"/>
      <c r="AG45" s="16186"/>
      <c r="AH45" s="16187"/>
      <c r="AI45" s="16187"/>
      <c r="AJ45" s="16187"/>
      <c r="AK45" s="16187"/>
      <c r="AL45" s="16187"/>
      <c r="AM45" s="16187"/>
      <c r="AN45" s="16187"/>
      <c r="AO45" s="16187"/>
      <c r="AP45" s="16187"/>
      <c r="AQ45" s="16187"/>
      <c r="AR45" s="16183"/>
      <c r="AS45" s="16184"/>
      <c r="AT45" s="16184"/>
      <c r="AU45" s="16184"/>
      <c r="AV45" s="16184"/>
      <c r="AW45" s="16184"/>
      <c r="AX45" s="16184"/>
      <c r="AY45" s="16184"/>
      <c r="AZ45" s="16184"/>
      <c r="BA45" s="16184"/>
      <c r="BB45" s="16185"/>
      <c r="BC45" s="16183"/>
      <c r="BD45" s="16184"/>
      <c r="BE45" s="16184"/>
      <c r="BF45" s="16184"/>
      <c r="BG45" s="16184"/>
      <c r="BH45" s="16184"/>
      <c r="BI45" s="16184"/>
      <c r="BJ45" s="16184"/>
      <c r="BK45" s="16184"/>
      <c r="BL45" s="16184"/>
      <c r="BM45" s="16185"/>
      <c r="BN45" s="16183"/>
      <c r="BO45" s="16184"/>
      <c r="BP45" s="16184"/>
      <c r="BQ45" s="16184"/>
      <c r="BR45" s="16184"/>
      <c r="BS45" s="16184"/>
      <c r="BT45" s="16184"/>
      <c r="BU45" s="16184"/>
      <c r="BV45" s="16184"/>
      <c r="BW45" s="16184"/>
      <c r="BX45" s="16185"/>
      <c r="BY45" s="16183"/>
      <c r="BZ45" s="16184"/>
      <c r="CA45" s="16184"/>
      <c r="CB45" s="16184"/>
      <c r="CC45" s="16184"/>
      <c r="CD45" s="16184"/>
      <c r="CE45" s="16184"/>
      <c r="CF45" s="16184"/>
      <c r="CG45" s="16184"/>
      <c r="CH45" s="16184"/>
      <c r="CI45" s="16185"/>
      <c r="CJ45" s="16183"/>
      <c r="CK45" s="16184"/>
      <c r="CL45" s="16184"/>
      <c r="CM45" s="16184"/>
      <c r="CN45" s="16184"/>
      <c r="CO45" s="16184"/>
      <c r="CP45" s="16184"/>
      <c r="CQ45" s="16184"/>
      <c r="CR45" s="16184"/>
      <c r="CS45" s="16184"/>
      <c r="CT45" s="16185"/>
      <c r="CU45" s="16183"/>
      <c r="CV45" s="16184"/>
      <c r="CW45" s="16184"/>
      <c r="CX45" s="16184"/>
      <c r="CY45" s="16184"/>
      <c r="CZ45" s="16184"/>
      <c r="DA45" s="16184"/>
      <c r="DB45" s="16184"/>
      <c r="DC45" s="16184"/>
      <c r="DD45" s="16184"/>
      <c r="DE45" s="16185"/>
      <c r="DF45" s="16183"/>
      <c r="DG45" s="16184"/>
      <c r="DH45" s="16184"/>
      <c r="DI45" s="16184"/>
      <c r="DJ45" s="16184"/>
      <c r="DK45" s="16184"/>
      <c r="DL45" s="16184"/>
      <c r="DM45" s="16184"/>
      <c r="DN45" s="16184"/>
      <c r="DO45" s="16184"/>
      <c r="DP45" s="16185"/>
      <c r="DQ45" s="16183"/>
      <c r="DR45" s="16184"/>
      <c r="DS45" s="16184"/>
      <c r="DT45" s="16184"/>
      <c r="DU45" s="16184"/>
      <c r="DV45" s="16184"/>
      <c r="DW45" s="16184"/>
      <c r="DX45" s="16184"/>
      <c r="DY45" s="16184"/>
      <c r="DZ45" s="16184"/>
      <c r="EA45" s="16185"/>
      <c r="EB45" s="16183"/>
      <c r="EC45" s="16184"/>
      <c r="ED45" s="16184"/>
      <c r="EE45" s="16184"/>
      <c r="EF45" s="16184"/>
      <c r="EG45" s="16184"/>
      <c r="EH45" s="16184"/>
      <c r="EI45" s="16184"/>
      <c r="EJ45" s="16184"/>
      <c r="EK45" s="16184"/>
      <c r="EL45" s="16185"/>
      <c r="EM45" s="16183"/>
      <c r="EN45" s="16184"/>
      <c r="EO45" s="16184"/>
      <c r="EP45" s="16184"/>
      <c r="EQ45" s="16184"/>
      <c r="ER45" s="16184"/>
      <c r="ES45" s="16184"/>
      <c r="ET45" s="16184"/>
      <c r="EU45" s="16184"/>
      <c r="EV45" s="16184"/>
      <c r="EW45" s="16185"/>
      <c r="EX45" s="16188"/>
      <c r="EY45" s="1140" t="s">
        <v>619</v>
      </c>
      <c r="FA45" s="407"/>
      <c r="FB45" s="407" t="str">
        <f t="shared" si="1"/>
        <v>Наименование признака дифференциации</v>
      </c>
      <c r="FC45" s="407"/>
      <c r="FD45" s="407"/>
    </row>
    <row r="46" spans="1:160" ht="23.25" customHeight="1">
      <c r="A46" s="1240" t="s">
        <v>284</v>
      </c>
      <c r="B46" s="1240" t="s">
        <v>285</v>
      </c>
      <c r="C46" s="1240" t="s">
        <v>286</v>
      </c>
      <c r="D46" s="1240" t="s">
        <v>677</v>
      </c>
      <c r="E46" s="16125"/>
      <c r="F46" s="16125"/>
      <c r="G46" s="16125"/>
      <c r="H46" s="16125"/>
      <c r="I46" s="16145"/>
      <c r="J46" s="16122" t="str">
        <f>I45&amp;".1"</f>
        <v>1.1.1.1.1</v>
      </c>
      <c r="K46" s="1240"/>
      <c r="L46" s="1241" t="s">
        <v>543</v>
      </c>
      <c r="P46" s="16123"/>
      <c r="Q46" s="16123">
        <v>1</v>
      </c>
      <c r="R46" s="273"/>
      <c r="S46" s="1364" t="str">
        <f>$J46</f>
        <v>1.1.1.1.1</v>
      </c>
      <c r="T46" s="203" t="s">
        <v>544</v>
      </c>
      <c r="U46" s="217"/>
      <c r="V46" s="16113"/>
      <c r="W46" s="16114"/>
      <c r="X46" s="16114"/>
      <c r="Y46" s="16114"/>
      <c r="Z46" s="16114"/>
      <c r="AA46" s="16114"/>
      <c r="AB46" s="16114"/>
      <c r="AC46" s="16114"/>
      <c r="AD46" s="16114"/>
      <c r="AE46" s="16114"/>
      <c r="AF46" s="16115"/>
      <c r="AG46" s="16113" t="s">
        <v>678</v>
      </c>
      <c r="AH46" s="16114"/>
      <c r="AI46" s="16114"/>
      <c r="AJ46" s="16114"/>
      <c r="AK46" s="16114"/>
      <c r="AL46" s="16114"/>
      <c r="AM46" s="16114"/>
      <c r="AN46" s="16114"/>
      <c r="AO46" s="16114"/>
      <c r="AP46" s="16114"/>
      <c r="AQ46" s="16114"/>
      <c r="AR46" s="16113"/>
      <c r="AS46" s="16114"/>
      <c r="AT46" s="16114"/>
      <c r="AU46" s="16114"/>
      <c r="AV46" s="16114"/>
      <c r="AW46" s="16114"/>
      <c r="AX46" s="16114"/>
      <c r="AY46" s="16114"/>
      <c r="AZ46" s="16114"/>
      <c r="BA46" s="16114"/>
      <c r="BB46" s="16115"/>
      <c r="BC46" s="16113"/>
      <c r="BD46" s="16114"/>
      <c r="BE46" s="16114"/>
      <c r="BF46" s="16114"/>
      <c r="BG46" s="16114"/>
      <c r="BH46" s="16114"/>
      <c r="BI46" s="16114"/>
      <c r="BJ46" s="16114"/>
      <c r="BK46" s="16114"/>
      <c r="BL46" s="16114"/>
      <c r="BM46" s="16115"/>
      <c r="BN46" s="16113"/>
      <c r="BO46" s="16114"/>
      <c r="BP46" s="16114"/>
      <c r="BQ46" s="16114"/>
      <c r="BR46" s="16114"/>
      <c r="BS46" s="16114"/>
      <c r="BT46" s="16114"/>
      <c r="BU46" s="16114"/>
      <c r="BV46" s="16114"/>
      <c r="BW46" s="16114"/>
      <c r="BX46" s="16115"/>
      <c r="BY46" s="16113"/>
      <c r="BZ46" s="16114"/>
      <c r="CA46" s="16114"/>
      <c r="CB46" s="16114"/>
      <c r="CC46" s="16114"/>
      <c r="CD46" s="16114"/>
      <c r="CE46" s="16114"/>
      <c r="CF46" s="16114"/>
      <c r="CG46" s="16114"/>
      <c r="CH46" s="16114"/>
      <c r="CI46" s="16115"/>
      <c r="CJ46" s="16113"/>
      <c r="CK46" s="16114"/>
      <c r="CL46" s="16114"/>
      <c r="CM46" s="16114"/>
      <c r="CN46" s="16114"/>
      <c r="CO46" s="16114"/>
      <c r="CP46" s="16114"/>
      <c r="CQ46" s="16114"/>
      <c r="CR46" s="16114"/>
      <c r="CS46" s="16114"/>
      <c r="CT46" s="16115"/>
      <c r="CU46" s="16113"/>
      <c r="CV46" s="16114"/>
      <c r="CW46" s="16114"/>
      <c r="CX46" s="16114"/>
      <c r="CY46" s="16114"/>
      <c r="CZ46" s="16114"/>
      <c r="DA46" s="16114"/>
      <c r="DB46" s="16114"/>
      <c r="DC46" s="16114"/>
      <c r="DD46" s="16114"/>
      <c r="DE46" s="16115"/>
      <c r="DF46" s="16113"/>
      <c r="DG46" s="16114"/>
      <c r="DH46" s="16114"/>
      <c r="DI46" s="16114"/>
      <c r="DJ46" s="16114"/>
      <c r="DK46" s="16114"/>
      <c r="DL46" s="16114"/>
      <c r="DM46" s="16114"/>
      <c r="DN46" s="16114"/>
      <c r="DO46" s="16114"/>
      <c r="DP46" s="16115"/>
      <c r="DQ46" s="16113"/>
      <c r="DR46" s="16114"/>
      <c r="DS46" s="16114"/>
      <c r="DT46" s="16114"/>
      <c r="DU46" s="16114"/>
      <c r="DV46" s="16114"/>
      <c r="DW46" s="16114"/>
      <c r="DX46" s="16114"/>
      <c r="DY46" s="16114"/>
      <c r="DZ46" s="16114"/>
      <c r="EA46" s="16115"/>
      <c r="EB46" s="16113"/>
      <c r="EC46" s="16114"/>
      <c r="ED46" s="16114"/>
      <c r="EE46" s="16114"/>
      <c r="EF46" s="16114"/>
      <c r="EG46" s="16114"/>
      <c r="EH46" s="16114"/>
      <c r="EI46" s="16114"/>
      <c r="EJ46" s="16114"/>
      <c r="EK46" s="16114"/>
      <c r="EL46" s="16115"/>
      <c r="EM46" s="16113"/>
      <c r="EN46" s="16114"/>
      <c r="EO46" s="16114"/>
      <c r="EP46" s="16114"/>
      <c r="EQ46" s="16114"/>
      <c r="ER46" s="16114"/>
      <c r="ES46" s="16114"/>
      <c r="ET46" s="16114"/>
      <c r="EU46" s="16114"/>
      <c r="EV46" s="16114"/>
      <c r="EW46" s="16115"/>
      <c r="EX46" s="16115"/>
      <c r="EY46" s="1187" t="s">
        <v>620</v>
      </c>
      <c r="FA46" s="407"/>
      <c r="FB46" s="407" t="str">
        <f t="shared" si="1"/>
        <v>Группа потребителей</v>
      </c>
      <c r="FC46" s="407"/>
      <c r="FD46" s="407"/>
    </row>
    <row r="47" spans="1:160" ht="23.25" customHeight="1">
      <c r="A47" s="1240" t="s">
        <v>284</v>
      </c>
      <c r="B47" s="1240" t="s">
        <v>285</v>
      </c>
      <c r="C47" s="1240" t="s">
        <v>286</v>
      </c>
      <c r="D47" s="1240" t="s">
        <v>677</v>
      </c>
      <c r="E47" s="16125"/>
      <c r="F47" s="16125"/>
      <c r="G47" s="16125"/>
      <c r="H47" s="16125"/>
      <c r="I47" s="16145"/>
      <c r="J47" s="16145"/>
      <c r="K47" s="16122" t="str">
        <f>J46&amp;".1"</f>
        <v>1.1.1.1.1.1</v>
      </c>
      <c r="L47" s="1241"/>
      <c r="P47" s="16123"/>
      <c r="Q47" s="16123"/>
      <c r="R47" s="273">
        <v>1</v>
      </c>
      <c r="S47" s="1364" t="str">
        <f>$K47</f>
        <v>1.1.1.1.1.1</v>
      </c>
      <c r="T47" s="1313"/>
      <c r="U47" s="217"/>
      <c r="V47" s="14448"/>
      <c r="W47" s="14448"/>
      <c r="X47" s="14448"/>
      <c r="Y47" s="14448"/>
      <c r="Z47" s="14448"/>
      <c r="AA47" s="14448"/>
      <c r="AB47" s="14448"/>
      <c r="AC47" s="16127"/>
      <c r="AD47" s="15973" t="s">
        <v>66</v>
      </c>
      <c r="AE47" s="16146"/>
      <c r="AF47" s="15973" t="s">
        <v>66</v>
      </c>
      <c r="AG47" s="649">
        <v>24.42</v>
      </c>
      <c r="AH47" s="649"/>
      <c r="AI47" s="649"/>
      <c r="AJ47" s="649"/>
      <c r="AK47" s="649">
        <v>3724.16</v>
      </c>
      <c r="AL47" s="649"/>
      <c r="AM47" s="649"/>
      <c r="AN47" s="16127">
        <v>45292</v>
      </c>
      <c r="AO47" s="15973" t="s">
        <v>66</v>
      </c>
      <c r="AP47" s="16146">
        <v>45378</v>
      </c>
      <c r="AQ47" s="15973" t="s">
        <v>66</v>
      </c>
      <c r="AR47" s="14448">
        <v>24.42</v>
      </c>
      <c r="AS47" s="14448"/>
      <c r="AT47" s="14448"/>
      <c r="AU47" s="14448"/>
      <c r="AV47" s="14448">
        <v>3724.16</v>
      </c>
      <c r="AW47" s="14448"/>
      <c r="AX47" s="14448"/>
      <c r="AY47" s="16127">
        <v>45379</v>
      </c>
      <c r="AZ47" s="15973" t="s">
        <v>66</v>
      </c>
      <c r="BA47" s="16146">
        <v>45473</v>
      </c>
      <c r="BB47" s="15973" t="s">
        <v>66</v>
      </c>
      <c r="BC47" s="14448">
        <v>28.08</v>
      </c>
      <c r="BD47" s="14448"/>
      <c r="BE47" s="14448"/>
      <c r="BF47" s="14448"/>
      <c r="BG47" s="14448">
        <v>4000</v>
      </c>
      <c r="BH47" s="14448"/>
      <c r="BI47" s="14448"/>
      <c r="BJ47" s="16127">
        <v>45474</v>
      </c>
      <c r="BK47" s="15973" t="s">
        <v>66</v>
      </c>
      <c r="BL47" s="16146">
        <v>45657</v>
      </c>
      <c r="BM47" s="15973" t="s">
        <v>66</v>
      </c>
      <c r="BN47" s="14448">
        <v>25.57</v>
      </c>
      <c r="BO47" s="14448"/>
      <c r="BP47" s="14448"/>
      <c r="BQ47" s="14448"/>
      <c r="BR47" s="14448">
        <v>4000</v>
      </c>
      <c r="BS47" s="14448"/>
      <c r="BT47" s="14448"/>
      <c r="BU47" s="16127">
        <v>45658</v>
      </c>
      <c r="BV47" s="15973" t="s">
        <v>66</v>
      </c>
      <c r="BW47" s="16146">
        <v>45838</v>
      </c>
      <c r="BX47" s="15973" t="s">
        <v>66</v>
      </c>
      <c r="BY47" s="14448">
        <v>26.59</v>
      </c>
      <c r="BZ47" s="14448"/>
      <c r="CA47" s="14448"/>
      <c r="CB47" s="14448"/>
      <c r="CC47" s="14448">
        <v>4168</v>
      </c>
      <c r="CD47" s="14448"/>
      <c r="CE47" s="14448"/>
      <c r="CF47" s="16127">
        <v>45839</v>
      </c>
      <c r="CG47" s="15973" t="s">
        <v>66</v>
      </c>
      <c r="CH47" s="16146">
        <v>46022</v>
      </c>
      <c r="CI47" s="15973" t="s">
        <v>66</v>
      </c>
      <c r="CJ47" s="14448">
        <v>26.59</v>
      </c>
      <c r="CK47" s="14448"/>
      <c r="CL47" s="14448"/>
      <c r="CM47" s="14448"/>
      <c r="CN47" s="14448">
        <v>4168</v>
      </c>
      <c r="CO47" s="14448"/>
      <c r="CP47" s="14448"/>
      <c r="CQ47" s="16127">
        <v>46023</v>
      </c>
      <c r="CR47" s="15973" t="s">
        <v>66</v>
      </c>
      <c r="CS47" s="16146">
        <v>46203</v>
      </c>
      <c r="CT47" s="15973" t="s">
        <v>66</v>
      </c>
      <c r="CU47" s="14448">
        <v>27.66</v>
      </c>
      <c r="CV47" s="14448"/>
      <c r="CW47" s="14448"/>
      <c r="CX47" s="14448"/>
      <c r="CY47" s="14448">
        <v>4334.72</v>
      </c>
      <c r="CZ47" s="14448"/>
      <c r="DA47" s="14448"/>
      <c r="DB47" s="16127">
        <v>46204</v>
      </c>
      <c r="DC47" s="15973" t="s">
        <v>66</v>
      </c>
      <c r="DD47" s="16146">
        <v>46387</v>
      </c>
      <c r="DE47" s="15973" t="s">
        <v>66</v>
      </c>
      <c r="DF47" s="14448">
        <v>27.66</v>
      </c>
      <c r="DG47" s="14448"/>
      <c r="DH47" s="14448"/>
      <c r="DI47" s="14448"/>
      <c r="DJ47" s="14448">
        <v>4334.72</v>
      </c>
      <c r="DK47" s="14448"/>
      <c r="DL47" s="14448"/>
      <c r="DM47" s="16127">
        <v>46388</v>
      </c>
      <c r="DN47" s="15973" t="s">
        <v>66</v>
      </c>
      <c r="DO47" s="16146">
        <v>46568</v>
      </c>
      <c r="DP47" s="15973" t="s">
        <v>66</v>
      </c>
      <c r="DQ47" s="14448">
        <v>28.76</v>
      </c>
      <c r="DR47" s="14448"/>
      <c r="DS47" s="14448"/>
      <c r="DT47" s="14448"/>
      <c r="DU47" s="14448">
        <v>4508.1099999999997</v>
      </c>
      <c r="DV47" s="14448"/>
      <c r="DW47" s="14448"/>
      <c r="DX47" s="16127">
        <v>46569</v>
      </c>
      <c r="DY47" s="15973" t="s">
        <v>66</v>
      </c>
      <c r="DZ47" s="16146">
        <v>46752</v>
      </c>
      <c r="EA47" s="15973" t="s">
        <v>66</v>
      </c>
      <c r="EB47" s="14448">
        <v>28.76</v>
      </c>
      <c r="EC47" s="14448"/>
      <c r="ED47" s="14448"/>
      <c r="EE47" s="14448"/>
      <c r="EF47" s="14448">
        <v>4508.1099999999997</v>
      </c>
      <c r="EG47" s="14448"/>
      <c r="EH47" s="14448"/>
      <c r="EI47" s="16127">
        <v>46753</v>
      </c>
      <c r="EJ47" s="15973" t="s">
        <v>66</v>
      </c>
      <c r="EK47" s="16146">
        <v>46934</v>
      </c>
      <c r="EL47" s="15973" t="s">
        <v>66</v>
      </c>
      <c r="EM47" s="14448">
        <v>29.91</v>
      </c>
      <c r="EN47" s="14448"/>
      <c r="EO47" s="14448"/>
      <c r="EP47" s="14448"/>
      <c r="EQ47" s="14448">
        <v>4688.43</v>
      </c>
      <c r="ER47" s="14448"/>
      <c r="ES47" s="14448"/>
      <c r="ET47" s="16127">
        <v>46935</v>
      </c>
      <c r="EU47" s="15973" t="s">
        <v>66</v>
      </c>
      <c r="EV47" s="16146">
        <v>47118</v>
      </c>
      <c r="EW47" s="15973" t="s">
        <v>66</v>
      </c>
      <c r="EX47" s="1314"/>
      <c r="EY47"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47" s="418" t="e">
        <f ca="1">STRCHECKDATE(V48:EX48)</f>
        <v>#NAME?</v>
      </c>
      <c r="FA47" s="407"/>
      <c r="FB47" s="407" t="str">
        <f t="shared" si="1"/>
        <v/>
      </c>
      <c r="FC47" s="407"/>
      <c r="FD47" s="407"/>
    </row>
    <row r="48" spans="1:160" ht="0" hidden="1" customHeight="1">
      <c r="A48" s="1240" t="s">
        <v>284</v>
      </c>
      <c r="B48" s="1240" t="s">
        <v>285</v>
      </c>
      <c r="C48" s="1240" t="s">
        <v>286</v>
      </c>
      <c r="D48" s="1240" t="s">
        <v>677</v>
      </c>
      <c r="E48" s="16125"/>
      <c r="F48" s="16125"/>
      <c r="G48" s="16125"/>
      <c r="H48" s="16125"/>
      <c r="I48" s="16145"/>
      <c r="J48" s="16145"/>
      <c r="K48" s="16122"/>
      <c r="L48" s="1241"/>
      <c r="P48" s="16123"/>
      <c r="Q48" s="16123"/>
      <c r="R48" s="273"/>
      <c r="S48" s="1361"/>
      <c r="T48" s="217"/>
      <c r="U48" s="217"/>
      <c r="V48" s="14449"/>
      <c r="W48" s="14449"/>
      <c r="X48" s="14449"/>
      <c r="Y48" s="14449"/>
      <c r="Z48" s="14449"/>
      <c r="AA48" s="14449"/>
      <c r="AB48" s="14449"/>
      <c r="AC48" s="16128"/>
      <c r="AD48" s="15973"/>
      <c r="AE48" s="16147"/>
      <c r="AF48" s="15973"/>
      <c r="AG48" s="242"/>
      <c r="AH48" s="242"/>
      <c r="AI48" s="242"/>
      <c r="AJ48" s="242"/>
      <c r="AK48" s="242"/>
      <c r="AL48" s="242"/>
      <c r="AM48" s="242"/>
      <c r="AN48" s="16128"/>
      <c r="AO48" s="15973"/>
      <c r="AP48" s="16147"/>
      <c r="AQ48" s="15973"/>
      <c r="AR48" s="14449"/>
      <c r="AS48" s="14449"/>
      <c r="AT48" s="14449"/>
      <c r="AU48" s="14449"/>
      <c r="AV48" s="14449"/>
      <c r="AW48" s="14449"/>
      <c r="AX48" s="14449"/>
      <c r="AY48" s="16128"/>
      <c r="AZ48" s="15973"/>
      <c r="BA48" s="16147"/>
      <c r="BB48" s="15973"/>
      <c r="BC48" s="14449"/>
      <c r="BD48" s="14449"/>
      <c r="BE48" s="14449"/>
      <c r="BF48" s="14449"/>
      <c r="BG48" s="14449"/>
      <c r="BH48" s="14449"/>
      <c r="BI48" s="14449"/>
      <c r="BJ48" s="16128"/>
      <c r="BK48" s="15973"/>
      <c r="BL48" s="16147"/>
      <c r="BM48" s="15973"/>
      <c r="BN48" s="14449"/>
      <c r="BO48" s="14449"/>
      <c r="BP48" s="14449"/>
      <c r="BQ48" s="14449"/>
      <c r="BR48" s="14449"/>
      <c r="BS48" s="14449"/>
      <c r="BT48" s="14449"/>
      <c r="BU48" s="16128"/>
      <c r="BV48" s="15973"/>
      <c r="BW48" s="16147"/>
      <c r="BX48" s="15973"/>
      <c r="BY48" s="14449"/>
      <c r="BZ48" s="14449"/>
      <c r="CA48" s="14449"/>
      <c r="CB48" s="14449"/>
      <c r="CC48" s="14449"/>
      <c r="CD48" s="14449"/>
      <c r="CE48" s="14449"/>
      <c r="CF48" s="16128"/>
      <c r="CG48" s="15973"/>
      <c r="CH48" s="16147"/>
      <c r="CI48" s="15973"/>
      <c r="CJ48" s="14449"/>
      <c r="CK48" s="14449"/>
      <c r="CL48" s="14449"/>
      <c r="CM48" s="14449"/>
      <c r="CN48" s="14449"/>
      <c r="CO48" s="14449"/>
      <c r="CP48" s="14449"/>
      <c r="CQ48" s="16128"/>
      <c r="CR48" s="15973"/>
      <c r="CS48" s="16147"/>
      <c r="CT48" s="15973"/>
      <c r="CU48" s="14449"/>
      <c r="CV48" s="14449"/>
      <c r="CW48" s="14449"/>
      <c r="CX48" s="14449"/>
      <c r="CY48" s="14449"/>
      <c r="CZ48" s="14449"/>
      <c r="DA48" s="14449"/>
      <c r="DB48" s="16128"/>
      <c r="DC48" s="15973"/>
      <c r="DD48" s="16147"/>
      <c r="DE48" s="15973"/>
      <c r="DF48" s="14449"/>
      <c r="DG48" s="14449"/>
      <c r="DH48" s="14449"/>
      <c r="DI48" s="14449"/>
      <c r="DJ48" s="14449"/>
      <c r="DK48" s="14449"/>
      <c r="DL48" s="14449"/>
      <c r="DM48" s="16128"/>
      <c r="DN48" s="15973"/>
      <c r="DO48" s="16147"/>
      <c r="DP48" s="15973"/>
      <c r="DQ48" s="14449"/>
      <c r="DR48" s="14449"/>
      <c r="DS48" s="14449"/>
      <c r="DT48" s="14449"/>
      <c r="DU48" s="14449"/>
      <c r="DV48" s="14449"/>
      <c r="DW48" s="14449"/>
      <c r="DX48" s="16128"/>
      <c r="DY48" s="15973"/>
      <c r="DZ48" s="16147"/>
      <c r="EA48" s="15973"/>
      <c r="EB48" s="14449"/>
      <c r="EC48" s="14449"/>
      <c r="ED48" s="14449"/>
      <c r="EE48" s="14449"/>
      <c r="EF48" s="14449"/>
      <c r="EG48" s="14449"/>
      <c r="EH48" s="14449"/>
      <c r="EI48" s="16128"/>
      <c r="EJ48" s="15973"/>
      <c r="EK48" s="16147"/>
      <c r="EL48" s="15973"/>
      <c r="EM48" s="14449"/>
      <c r="EN48" s="14449"/>
      <c r="EO48" s="14449"/>
      <c r="EP48" s="14449"/>
      <c r="EQ48" s="14449"/>
      <c r="ER48" s="14449"/>
      <c r="ES48" s="14449"/>
      <c r="ET48" s="16128"/>
      <c r="EU48" s="15973"/>
      <c r="EV48" s="16147"/>
      <c r="EW48" s="15973"/>
      <c r="EX48" s="1315"/>
      <c r="EY48" s="16182"/>
      <c r="FA48" s="407"/>
      <c r="FB48" s="407" t="str">
        <f t="shared" si="1"/>
        <v/>
      </c>
      <c r="FC48" s="407"/>
      <c r="FD48" s="407"/>
    </row>
    <row r="49" spans="1:160" ht="21" customHeight="1">
      <c r="A49" s="1240" t="s">
        <v>284</v>
      </c>
      <c r="B49" s="1240" t="s">
        <v>285</v>
      </c>
      <c r="C49" s="1240" t="s">
        <v>286</v>
      </c>
      <c r="D49" s="1240" t="s">
        <v>677</v>
      </c>
      <c r="E49" s="16125"/>
      <c r="F49" s="16125"/>
      <c r="G49" s="16125"/>
      <c r="H49" s="16125"/>
      <c r="I49" s="16145"/>
      <c r="J49" s="16122"/>
      <c r="K49" s="1240"/>
      <c r="L49" s="1241"/>
      <c r="P49" s="16123"/>
      <c r="Q49" s="16123"/>
      <c r="R49" s="272"/>
      <c r="S49" s="1160"/>
      <c r="T49" s="204" t="s">
        <v>621</v>
      </c>
      <c r="U49" s="282"/>
      <c r="V49" s="282"/>
      <c r="W49" s="503"/>
      <c r="X49" s="503"/>
      <c r="Y49" s="503"/>
      <c r="Z49" s="503"/>
      <c r="AA49" s="503"/>
      <c r="AB49" s="503"/>
      <c r="AC49" s="282"/>
      <c r="AD49" s="282"/>
      <c r="AE49" s="282"/>
      <c r="AF49" s="282"/>
      <c r="AG49" s="282"/>
      <c r="AH49" s="503"/>
      <c r="AI49" s="503"/>
      <c r="AJ49" s="503"/>
      <c r="AK49" s="503"/>
      <c r="AL49" s="503"/>
      <c r="AM49" s="282"/>
      <c r="AN49" s="282"/>
      <c r="AO49" s="282"/>
      <c r="AP49" s="282"/>
      <c r="AQ49" s="282"/>
      <c r="AR49" s="2205"/>
      <c r="AS49" s="2206"/>
      <c r="AT49" s="2207"/>
      <c r="AU49" s="2208"/>
      <c r="AV49" s="2209"/>
      <c r="AW49" s="2210"/>
      <c r="AX49" s="2211"/>
      <c r="AY49" s="2212"/>
      <c r="AZ49" s="2213"/>
      <c r="BA49" s="2214"/>
      <c r="BB49" s="2215"/>
      <c r="BC49" s="2216"/>
      <c r="BD49" s="2217"/>
      <c r="BE49" s="2218"/>
      <c r="BF49" s="2219"/>
      <c r="BG49" s="2220"/>
      <c r="BH49" s="2221"/>
      <c r="BI49" s="2222"/>
      <c r="BJ49" s="2223"/>
      <c r="BK49" s="2224"/>
      <c r="BL49" s="2225"/>
      <c r="BM49" s="2226"/>
      <c r="BN49" s="2227"/>
      <c r="BO49" s="2228"/>
      <c r="BP49" s="2229"/>
      <c r="BQ49" s="2230"/>
      <c r="BR49" s="2231"/>
      <c r="BS49" s="2232"/>
      <c r="BT49" s="2233"/>
      <c r="BU49" s="2234"/>
      <c r="BV49" s="2235"/>
      <c r="BW49" s="2236"/>
      <c r="BX49" s="2237"/>
      <c r="BY49" s="2238"/>
      <c r="BZ49" s="2239"/>
      <c r="CA49" s="2240"/>
      <c r="CB49" s="2241"/>
      <c r="CC49" s="2242"/>
      <c r="CD49" s="2243"/>
      <c r="CE49" s="2244"/>
      <c r="CF49" s="2245"/>
      <c r="CG49" s="2246"/>
      <c r="CH49" s="2247"/>
      <c r="CI49" s="2248"/>
      <c r="CJ49" s="2249"/>
      <c r="CK49" s="2250"/>
      <c r="CL49" s="2251"/>
      <c r="CM49" s="2252"/>
      <c r="CN49" s="2253"/>
      <c r="CO49" s="2254"/>
      <c r="CP49" s="2255"/>
      <c r="CQ49" s="2256"/>
      <c r="CR49" s="2257"/>
      <c r="CS49" s="2258"/>
      <c r="CT49" s="2259"/>
      <c r="CU49" s="2260"/>
      <c r="CV49" s="2261"/>
      <c r="CW49" s="2262"/>
      <c r="CX49" s="2263"/>
      <c r="CY49" s="2264"/>
      <c r="CZ49" s="2265"/>
      <c r="DA49" s="2266"/>
      <c r="DB49" s="2267"/>
      <c r="DC49" s="2268"/>
      <c r="DD49" s="2269"/>
      <c r="DE49" s="2270"/>
      <c r="DF49" s="2271"/>
      <c r="DG49" s="2272"/>
      <c r="DH49" s="2273"/>
      <c r="DI49" s="2274"/>
      <c r="DJ49" s="2275"/>
      <c r="DK49" s="2276"/>
      <c r="DL49" s="2277"/>
      <c r="DM49" s="2278"/>
      <c r="DN49" s="2279"/>
      <c r="DO49" s="2280"/>
      <c r="DP49" s="2281"/>
      <c r="DQ49" s="2282"/>
      <c r="DR49" s="2283"/>
      <c r="DS49" s="2284"/>
      <c r="DT49" s="2285"/>
      <c r="DU49" s="2286"/>
      <c r="DV49" s="2287"/>
      <c r="DW49" s="2288"/>
      <c r="DX49" s="2289"/>
      <c r="DY49" s="2290"/>
      <c r="DZ49" s="2291"/>
      <c r="EA49" s="2292"/>
      <c r="EB49" s="2293"/>
      <c r="EC49" s="2294"/>
      <c r="ED49" s="2295"/>
      <c r="EE49" s="2296"/>
      <c r="EF49" s="2297"/>
      <c r="EG49" s="2298"/>
      <c r="EH49" s="2299"/>
      <c r="EI49" s="2300"/>
      <c r="EJ49" s="2301"/>
      <c r="EK49" s="2302"/>
      <c r="EL49" s="2303"/>
      <c r="EM49" s="14495"/>
      <c r="EN49" s="14496"/>
      <c r="EO49" s="14497"/>
      <c r="EP49" s="14498"/>
      <c r="EQ49" s="14499"/>
      <c r="ER49" s="14500"/>
      <c r="ES49" s="14501"/>
      <c r="ET49" s="14502"/>
      <c r="EU49" s="14503"/>
      <c r="EV49" s="14504"/>
      <c r="EW49" s="14505"/>
      <c r="EX49" s="282"/>
      <c r="EY49" s="1140" t="s">
        <v>622</v>
      </c>
      <c r="FA49" s="407"/>
      <c r="FB49" s="407" t="str">
        <f t="shared" si="1"/>
        <v>Добавить значение признака дифференциации</v>
      </c>
      <c r="FC49" s="407"/>
      <c r="FD49" s="407"/>
    </row>
    <row r="50" spans="1:160" ht="21" customHeight="1">
      <c r="A50" s="1240" t="s">
        <v>284</v>
      </c>
      <c r="B50" s="1240" t="s">
        <v>285</v>
      </c>
      <c r="C50" s="1240" t="s">
        <v>286</v>
      </c>
      <c r="D50" s="1240" t="s">
        <v>677</v>
      </c>
      <c r="E50" s="16125"/>
      <c r="F50" s="16125"/>
      <c r="G50" s="16125"/>
      <c r="H50" s="16125"/>
      <c r="I50" s="16122"/>
      <c r="J50" s="1240"/>
      <c r="K50" s="1240"/>
      <c r="L50" s="1241"/>
      <c r="P50" s="16123"/>
      <c r="Q50" s="1352"/>
      <c r="R50" s="272"/>
      <c r="S50" s="1160"/>
      <c r="T50" s="280" t="s">
        <v>549</v>
      </c>
      <c r="U50" s="282"/>
      <c r="V50" s="282"/>
      <c r="W50" s="503"/>
      <c r="X50" s="503"/>
      <c r="Y50" s="503"/>
      <c r="Z50" s="503"/>
      <c r="AA50" s="503"/>
      <c r="AB50" s="503"/>
      <c r="AC50" s="282"/>
      <c r="AD50" s="282"/>
      <c r="AE50" s="282"/>
      <c r="AF50" s="281"/>
      <c r="AG50" s="282"/>
      <c r="AH50" s="503"/>
      <c r="AI50" s="503"/>
      <c r="AJ50" s="503"/>
      <c r="AK50" s="503"/>
      <c r="AL50" s="503"/>
      <c r="AM50" s="282"/>
      <c r="AN50" s="282"/>
      <c r="AO50" s="282"/>
      <c r="AP50" s="282"/>
      <c r="AQ50" s="281"/>
      <c r="AR50" s="2304"/>
      <c r="AS50" s="2305"/>
      <c r="AT50" s="2306"/>
      <c r="AU50" s="2307"/>
      <c r="AV50" s="2308"/>
      <c r="AW50" s="2309"/>
      <c r="AX50" s="2310"/>
      <c r="AY50" s="2311"/>
      <c r="AZ50" s="2312"/>
      <c r="BA50" s="2313"/>
      <c r="BB50" s="2314"/>
      <c r="BC50" s="2315"/>
      <c r="BD50" s="2316"/>
      <c r="BE50" s="2317"/>
      <c r="BF50" s="2318"/>
      <c r="BG50" s="2319"/>
      <c r="BH50" s="2320"/>
      <c r="BI50" s="2321"/>
      <c r="BJ50" s="2322"/>
      <c r="BK50" s="2323"/>
      <c r="BL50" s="2324"/>
      <c r="BM50" s="2325"/>
      <c r="BN50" s="2326"/>
      <c r="BO50" s="2327"/>
      <c r="BP50" s="2328"/>
      <c r="BQ50" s="2329"/>
      <c r="BR50" s="2330"/>
      <c r="BS50" s="2331"/>
      <c r="BT50" s="2332"/>
      <c r="BU50" s="2333"/>
      <c r="BV50" s="2334"/>
      <c r="BW50" s="2335"/>
      <c r="BX50" s="2336"/>
      <c r="BY50" s="2337"/>
      <c r="BZ50" s="2338"/>
      <c r="CA50" s="2339"/>
      <c r="CB50" s="2340"/>
      <c r="CC50" s="2341"/>
      <c r="CD50" s="2342"/>
      <c r="CE50" s="2343"/>
      <c r="CF50" s="2344"/>
      <c r="CG50" s="2345"/>
      <c r="CH50" s="2346"/>
      <c r="CI50" s="2347"/>
      <c r="CJ50" s="2348"/>
      <c r="CK50" s="2349"/>
      <c r="CL50" s="2350"/>
      <c r="CM50" s="2351"/>
      <c r="CN50" s="2352"/>
      <c r="CO50" s="2353"/>
      <c r="CP50" s="2354"/>
      <c r="CQ50" s="2355"/>
      <c r="CR50" s="2356"/>
      <c r="CS50" s="2357"/>
      <c r="CT50" s="2358"/>
      <c r="CU50" s="2359"/>
      <c r="CV50" s="2360"/>
      <c r="CW50" s="2361"/>
      <c r="CX50" s="2362"/>
      <c r="CY50" s="2363"/>
      <c r="CZ50" s="2364"/>
      <c r="DA50" s="2365"/>
      <c r="DB50" s="2366"/>
      <c r="DC50" s="2367"/>
      <c r="DD50" s="2368"/>
      <c r="DE50" s="2369"/>
      <c r="DF50" s="2370"/>
      <c r="DG50" s="2371"/>
      <c r="DH50" s="2372"/>
      <c r="DI50" s="2373"/>
      <c r="DJ50" s="2374"/>
      <c r="DK50" s="2375"/>
      <c r="DL50" s="2376"/>
      <c r="DM50" s="2377"/>
      <c r="DN50" s="2378"/>
      <c r="DO50" s="2379"/>
      <c r="DP50" s="2380"/>
      <c r="DQ50" s="2381"/>
      <c r="DR50" s="2382"/>
      <c r="DS50" s="2383"/>
      <c r="DT50" s="2384"/>
      <c r="DU50" s="2385"/>
      <c r="DV50" s="2386"/>
      <c r="DW50" s="2387"/>
      <c r="DX50" s="2388"/>
      <c r="DY50" s="2389"/>
      <c r="DZ50" s="2390"/>
      <c r="EA50" s="2391"/>
      <c r="EB50" s="2392"/>
      <c r="EC50" s="2393"/>
      <c r="ED50" s="2394"/>
      <c r="EE50" s="2395"/>
      <c r="EF50" s="2396"/>
      <c r="EG50" s="2397"/>
      <c r="EH50" s="2398"/>
      <c r="EI50" s="2399"/>
      <c r="EJ50" s="2400"/>
      <c r="EK50" s="2401"/>
      <c r="EL50" s="2402"/>
      <c r="EM50" s="14506"/>
      <c r="EN50" s="14507"/>
      <c r="EO50" s="14508"/>
      <c r="EP50" s="14509"/>
      <c r="EQ50" s="14510"/>
      <c r="ER50" s="14511"/>
      <c r="ES50" s="14512"/>
      <c r="ET50" s="14513"/>
      <c r="EU50" s="14514"/>
      <c r="EV50" s="14515"/>
      <c r="EW50" s="14516"/>
      <c r="EX50" s="282"/>
      <c r="EY50" s="1316"/>
      <c r="FA50" s="407"/>
      <c r="FB50" s="407" t="str">
        <f t="shared" si="1"/>
        <v>Добавить группу потребителей</v>
      </c>
      <c r="FC50" s="407"/>
      <c r="FD50" s="407"/>
    </row>
    <row r="51" spans="1:160" ht="21" customHeight="1">
      <c r="A51" s="1240" t="s">
        <v>284</v>
      </c>
      <c r="B51" s="1240" t="s">
        <v>285</v>
      </c>
      <c r="C51" s="1240" t="s">
        <v>286</v>
      </c>
      <c r="D51" s="1240" t="s">
        <v>677</v>
      </c>
      <c r="E51" s="16125"/>
      <c r="F51" s="16125"/>
      <c r="G51" s="16125"/>
      <c r="H51" s="16124"/>
      <c r="I51" s="1240"/>
      <c r="J51" s="1240"/>
      <c r="K51" s="1240"/>
      <c r="L51" s="1241"/>
      <c r="M51" s="1242"/>
      <c r="N51" s="1242"/>
      <c r="O51" s="443"/>
      <c r="P51" s="276"/>
      <c r="Q51" s="290"/>
      <c r="R51" s="271"/>
      <c r="S51" s="1160"/>
      <c r="T51" s="287" t="s">
        <v>623</v>
      </c>
      <c r="U51" s="282"/>
      <c r="V51" s="282"/>
      <c r="W51" s="503"/>
      <c r="X51" s="503"/>
      <c r="Y51" s="503"/>
      <c r="Z51" s="503"/>
      <c r="AA51" s="503"/>
      <c r="AB51" s="503"/>
      <c r="AC51" s="282"/>
      <c r="AD51" s="282"/>
      <c r="AE51" s="282"/>
      <c r="AF51" s="281"/>
      <c r="AG51" s="282"/>
      <c r="AH51" s="503"/>
      <c r="AI51" s="503"/>
      <c r="AJ51" s="503"/>
      <c r="AK51" s="503"/>
      <c r="AL51" s="503"/>
      <c r="AM51" s="282"/>
      <c r="AN51" s="282"/>
      <c r="AO51" s="282"/>
      <c r="AP51" s="282"/>
      <c r="AQ51" s="281"/>
      <c r="AR51" s="2403"/>
      <c r="AS51" s="2404"/>
      <c r="AT51" s="2405"/>
      <c r="AU51" s="2406"/>
      <c r="AV51" s="2407"/>
      <c r="AW51" s="2408"/>
      <c r="AX51" s="2409"/>
      <c r="AY51" s="2410"/>
      <c r="AZ51" s="2411"/>
      <c r="BA51" s="2412"/>
      <c r="BB51" s="2413"/>
      <c r="BC51" s="2414"/>
      <c r="BD51" s="2415"/>
      <c r="BE51" s="2416"/>
      <c r="BF51" s="2417"/>
      <c r="BG51" s="2418"/>
      <c r="BH51" s="2419"/>
      <c r="BI51" s="2420"/>
      <c r="BJ51" s="2421"/>
      <c r="BK51" s="2422"/>
      <c r="BL51" s="2423"/>
      <c r="BM51" s="2424"/>
      <c r="BN51" s="2425"/>
      <c r="BO51" s="2426"/>
      <c r="BP51" s="2427"/>
      <c r="BQ51" s="2428"/>
      <c r="BR51" s="2429"/>
      <c r="BS51" s="2430"/>
      <c r="BT51" s="2431"/>
      <c r="BU51" s="2432"/>
      <c r="BV51" s="2433"/>
      <c r="BW51" s="2434"/>
      <c r="BX51" s="2435"/>
      <c r="BY51" s="2436"/>
      <c r="BZ51" s="2437"/>
      <c r="CA51" s="2438"/>
      <c r="CB51" s="2439"/>
      <c r="CC51" s="2440"/>
      <c r="CD51" s="2441"/>
      <c r="CE51" s="2442"/>
      <c r="CF51" s="2443"/>
      <c r="CG51" s="2444"/>
      <c r="CH51" s="2445"/>
      <c r="CI51" s="2446"/>
      <c r="CJ51" s="2447"/>
      <c r="CK51" s="2448"/>
      <c r="CL51" s="2449"/>
      <c r="CM51" s="2450"/>
      <c r="CN51" s="2451"/>
      <c r="CO51" s="2452"/>
      <c r="CP51" s="2453"/>
      <c r="CQ51" s="2454"/>
      <c r="CR51" s="2455"/>
      <c r="CS51" s="2456"/>
      <c r="CT51" s="2457"/>
      <c r="CU51" s="2458"/>
      <c r="CV51" s="2459"/>
      <c r="CW51" s="2460"/>
      <c r="CX51" s="2461"/>
      <c r="CY51" s="2462"/>
      <c r="CZ51" s="2463"/>
      <c r="DA51" s="2464"/>
      <c r="DB51" s="2465"/>
      <c r="DC51" s="2466"/>
      <c r="DD51" s="2467"/>
      <c r="DE51" s="2468"/>
      <c r="DF51" s="2469"/>
      <c r="DG51" s="2470"/>
      <c r="DH51" s="2471"/>
      <c r="DI51" s="2472"/>
      <c r="DJ51" s="2473"/>
      <c r="DK51" s="2474"/>
      <c r="DL51" s="2475"/>
      <c r="DM51" s="2476"/>
      <c r="DN51" s="2477"/>
      <c r="DO51" s="2478"/>
      <c r="DP51" s="2479"/>
      <c r="DQ51" s="2480"/>
      <c r="DR51" s="2481"/>
      <c r="DS51" s="2482"/>
      <c r="DT51" s="2483"/>
      <c r="DU51" s="2484"/>
      <c r="DV51" s="2485"/>
      <c r="DW51" s="2486"/>
      <c r="DX51" s="2487"/>
      <c r="DY51" s="2488"/>
      <c r="DZ51" s="2489"/>
      <c r="EA51" s="2490"/>
      <c r="EB51" s="2491"/>
      <c r="EC51" s="2492"/>
      <c r="ED51" s="2493"/>
      <c r="EE51" s="2494"/>
      <c r="EF51" s="2495"/>
      <c r="EG51" s="2496"/>
      <c r="EH51" s="2497"/>
      <c r="EI51" s="2498"/>
      <c r="EJ51" s="2499"/>
      <c r="EK51" s="2500"/>
      <c r="EL51" s="2501"/>
      <c r="EM51" s="14517"/>
      <c r="EN51" s="14518"/>
      <c r="EO51" s="14519"/>
      <c r="EP51" s="14520"/>
      <c r="EQ51" s="14521"/>
      <c r="ER51" s="14522"/>
      <c r="ES51" s="14523"/>
      <c r="ET51" s="14524"/>
      <c r="EU51" s="14525"/>
      <c r="EV51" s="14526"/>
      <c r="EW51" s="14527"/>
      <c r="EX51" s="282"/>
      <c r="EY51" s="220"/>
      <c r="FA51" s="407"/>
      <c r="FB51" s="407" t="str">
        <f t="shared" si="1"/>
        <v>Добавить наименование признака дифференциации</v>
      </c>
      <c r="FC51" s="407"/>
      <c r="FD51" s="407"/>
    </row>
    <row r="52" spans="1:160" s="14528" customFormat="1" ht="23.25" customHeight="1">
      <c r="A52" s="2502"/>
      <c r="B52" s="2502"/>
      <c r="C52" s="2502" t="s">
        <v>288</v>
      </c>
      <c r="D52" s="2502"/>
      <c r="E52" s="16125"/>
      <c r="F52" s="16125"/>
      <c r="G52" s="16124" t="s">
        <v>102</v>
      </c>
      <c r="H52" s="2502"/>
      <c r="I52" s="2502"/>
      <c r="J52" s="2502"/>
      <c r="K52" s="2502"/>
      <c r="L52" s="2503"/>
      <c r="M52" s="2504"/>
      <c r="N52" s="2504"/>
      <c r="O52" s="2504"/>
      <c r="P52" s="2505"/>
      <c r="Q52" s="2506"/>
      <c r="R52" s="2507"/>
      <c r="S52" s="2508" t="str">
        <f>INDEX(PT_DIFFERENTIATION_NUM_CS,MATCH(C52,PT_DIFFERENTIATION_CS_ID,0))</f>
        <v>1.1.2</v>
      </c>
      <c r="T52" s="2509" t="s">
        <v>665</v>
      </c>
      <c r="U52" s="2510"/>
      <c r="V52" s="16110"/>
      <c r="W52" s="16111"/>
      <c r="X52" s="16111"/>
      <c r="Y52" s="16111"/>
      <c r="Z52" s="16111"/>
      <c r="AA52" s="16111"/>
      <c r="AB52" s="16111"/>
      <c r="AC52" s="16111"/>
      <c r="AD52" s="16111"/>
      <c r="AE52" s="16111"/>
      <c r="AF52" s="16112"/>
      <c r="AG52" s="16110" t="str">
        <f>INDEX(PT_DIFFERENTIATION_CS,MATCH(C52,PT_DIFFERENTIATION_CS_ID,0))</f>
        <v>городской округ город-герой Мурманск (потребители котельной ул. Фестивальная)</v>
      </c>
      <c r="AH52" s="16111"/>
      <c r="AI52" s="16111"/>
      <c r="AJ52" s="16111"/>
      <c r="AK52" s="16111"/>
      <c r="AL52" s="16111"/>
      <c r="AM52" s="16111"/>
      <c r="AN52" s="16111"/>
      <c r="AO52" s="16111"/>
      <c r="AP52" s="16111"/>
      <c r="AQ52" s="16111"/>
      <c r="AR52" s="16110"/>
      <c r="AS52" s="16111"/>
      <c r="AT52" s="16111"/>
      <c r="AU52" s="16111"/>
      <c r="AV52" s="16111"/>
      <c r="AW52" s="16111"/>
      <c r="AX52" s="16111"/>
      <c r="AY52" s="16111"/>
      <c r="AZ52" s="16111"/>
      <c r="BA52" s="16111"/>
      <c r="BB52" s="16112"/>
      <c r="BC52" s="16110"/>
      <c r="BD52" s="16111"/>
      <c r="BE52" s="16111"/>
      <c r="BF52" s="16111"/>
      <c r="BG52" s="16111"/>
      <c r="BH52" s="16111"/>
      <c r="BI52" s="16111"/>
      <c r="BJ52" s="16111"/>
      <c r="BK52" s="16111"/>
      <c r="BL52" s="16111"/>
      <c r="BM52" s="16112"/>
      <c r="BN52" s="16110"/>
      <c r="BO52" s="16111"/>
      <c r="BP52" s="16111"/>
      <c r="BQ52" s="16111"/>
      <c r="BR52" s="16111"/>
      <c r="BS52" s="16111"/>
      <c r="BT52" s="16111"/>
      <c r="BU52" s="16111"/>
      <c r="BV52" s="16111"/>
      <c r="BW52" s="16111"/>
      <c r="BX52" s="16112"/>
      <c r="BY52" s="16110"/>
      <c r="BZ52" s="16111"/>
      <c r="CA52" s="16111"/>
      <c r="CB52" s="16111"/>
      <c r="CC52" s="16111"/>
      <c r="CD52" s="16111"/>
      <c r="CE52" s="16111"/>
      <c r="CF52" s="16111"/>
      <c r="CG52" s="16111"/>
      <c r="CH52" s="16111"/>
      <c r="CI52" s="16112"/>
      <c r="CJ52" s="16110"/>
      <c r="CK52" s="16111"/>
      <c r="CL52" s="16111"/>
      <c r="CM52" s="16111"/>
      <c r="CN52" s="16111"/>
      <c r="CO52" s="16111"/>
      <c r="CP52" s="16111"/>
      <c r="CQ52" s="16111"/>
      <c r="CR52" s="16111"/>
      <c r="CS52" s="16111"/>
      <c r="CT52" s="16112"/>
      <c r="CU52" s="16110"/>
      <c r="CV52" s="16111"/>
      <c r="CW52" s="16111"/>
      <c r="CX52" s="16111"/>
      <c r="CY52" s="16111"/>
      <c r="CZ52" s="16111"/>
      <c r="DA52" s="16111"/>
      <c r="DB52" s="16111"/>
      <c r="DC52" s="16111"/>
      <c r="DD52" s="16111"/>
      <c r="DE52" s="16112"/>
      <c r="DF52" s="16110"/>
      <c r="DG52" s="16111"/>
      <c r="DH52" s="16111"/>
      <c r="DI52" s="16111"/>
      <c r="DJ52" s="16111"/>
      <c r="DK52" s="16111"/>
      <c r="DL52" s="16111"/>
      <c r="DM52" s="16111"/>
      <c r="DN52" s="16111"/>
      <c r="DO52" s="16111"/>
      <c r="DP52" s="16112"/>
      <c r="DQ52" s="16110"/>
      <c r="DR52" s="16111"/>
      <c r="DS52" s="16111"/>
      <c r="DT52" s="16111"/>
      <c r="DU52" s="16111"/>
      <c r="DV52" s="16111"/>
      <c r="DW52" s="16111"/>
      <c r="DX52" s="16111"/>
      <c r="DY52" s="16111"/>
      <c r="DZ52" s="16111"/>
      <c r="EA52" s="16112"/>
      <c r="EB52" s="16110"/>
      <c r="EC52" s="16111"/>
      <c r="ED52" s="16111"/>
      <c r="EE52" s="16111"/>
      <c r="EF52" s="16111"/>
      <c r="EG52" s="16111"/>
      <c r="EH52" s="16111"/>
      <c r="EI52" s="16111"/>
      <c r="EJ52" s="16111"/>
      <c r="EK52" s="16111"/>
      <c r="EL52" s="16112"/>
      <c r="EM52" s="16110"/>
      <c r="EN52" s="16111"/>
      <c r="EO52" s="16111"/>
      <c r="EP52" s="16111"/>
      <c r="EQ52" s="16111"/>
      <c r="ER52" s="16111"/>
      <c r="ES52" s="16111"/>
      <c r="ET52" s="16111"/>
      <c r="EU52" s="16111"/>
      <c r="EV52" s="16111"/>
      <c r="EW52" s="16112"/>
      <c r="EX52" s="16112"/>
      <c r="EY52" s="2511" t="s">
        <v>666</v>
      </c>
      <c r="EZ52" s="2199"/>
      <c r="FA52" s="2512"/>
      <c r="FB52" s="2512" t="str">
        <f t="shared" si="1"/>
        <v>Наименование централизованной системы горячего водоснабжения</v>
      </c>
      <c r="FC52" s="2512"/>
      <c r="FD52" s="2512"/>
    </row>
    <row r="53" spans="1:160" s="14529" customFormat="1" ht="23.25" customHeight="1">
      <c r="A53" s="2502"/>
      <c r="B53" s="2502"/>
      <c r="C53" s="2502"/>
      <c r="D53" s="2502"/>
      <c r="E53" s="16125"/>
      <c r="F53" s="16125"/>
      <c r="G53" s="16125">
        <v>1</v>
      </c>
      <c r="H53" s="16125"/>
      <c r="I53" s="16122" t="str">
        <f>S52&amp;".1"</f>
        <v>1.1.2.1</v>
      </c>
      <c r="J53" s="2502"/>
      <c r="K53" s="2502"/>
      <c r="L53" s="2503"/>
      <c r="M53" s="2513"/>
      <c r="N53" s="2513"/>
      <c r="O53" s="2513"/>
      <c r="P53" s="16123">
        <v>1</v>
      </c>
      <c r="Q53" s="2514"/>
      <c r="R53" s="2515"/>
      <c r="S53" s="2508" t="str">
        <f>$I53</f>
        <v>1.1.2.1</v>
      </c>
      <c r="T53" s="2516" t="s">
        <v>618</v>
      </c>
      <c r="U53" s="2510"/>
      <c r="V53" s="16183"/>
      <c r="W53" s="16184"/>
      <c r="X53" s="16184"/>
      <c r="Y53" s="16184"/>
      <c r="Z53" s="16184"/>
      <c r="AA53" s="16184"/>
      <c r="AB53" s="16184"/>
      <c r="AC53" s="16184"/>
      <c r="AD53" s="16184"/>
      <c r="AE53" s="16184"/>
      <c r="AF53" s="16185"/>
      <c r="AG53" s="16186"/>
      <c r="AH53" s="16187"/>
      <c r="AI53" s="16187"/>
      <c r="AJ53" s="16187"/>
      <c r="AK53" s="16187"/>
      <c r="AL53" s="16187"/>
      <c r="AM53" s="16187"/>
      <c r="AN53" s="16187"/>
      <c r="AO53" s="16187"/>
      <c r="AP53" s="16187"/>
      <c r="AQ53" s="16187"/>
      <c r="AR53" s="16183"/>
      <c r="AS53" s="16184"/>
      <c r="AT53" s="16184"/>
      <c r="AU53" s="16184"/>
      <c r="AV53" s="16184"/>
      <c r="AW53" s="16184"/>
      <c r="AX53" s="16184"/>
      <c r="AY53" s="16184"/>
      <c r="AZ53" s="16184"/>
      <c r="BA53" s="16184"/>
      <c r="BB53" s="16185"/>
      <c r="BC53" s="16183"/>
      <c r="BD53" s="16184"/>
      <c r="BE53" s="16184"/>
      <c r="BF53" s="16184"/>
      <c r="BG53" s="16184"/>
      <c r="BH53" s="16184"/>
      <c r="BI53" s="16184"/>
      <c r="BJ53" s="16184"/>
      <c r="BK53" s="16184"/>
      <c r="BL53" s="16184"/>
      <c r="BM53" s="16185"/>
      <c r="BN53" s="16183"/>
      <c r="BO53" s="16184"/>
      <c r="BP53" s="16184"/>
      <c r="BQ53" s="16184"/>
      <c r="BR53" s="16184"/>
      <c r="BS53" s="16184"/>
      <c r="BT53" s="16184"/>
      <c r="BU53" s="16184"/>
      <c r="BV53" s="16184"/>
      <c r="BW53" s="16184"/>
      <c r="BX53" s="16185"/>
      <c r="BY53" s="16183"/>
      <c r="BZ53" s="16184"/>
      <c r="CA53" s="16184"/>
      <c r="CB53" s="16184"/>
      <c r="CC53" s="16184"/>
      <c r="CD53" s="16184"/>
      <c r="CE53" s="16184"/>
      <c r="CF53" s="16184"/>
      <c r="CG53" s="16184"/>
      <c r="CH53" s="16184"/>
      <c r="CI53" s="16185"/>
      <c r="CJ53" s="16183"/>
      <c r="CK53" s="16184"/>
      <c r="CL53" s="16184"/>
      <c r="CM53" s="16184"/>
      <c r="CN53" s="16184"/>
      <c r="CO53" s="16184"/>
      <c r="CP53" s="16184"/>
      <c r="CQ53" s="16184"/>
      <c r="CR53" s="16184"/>
      <c r="CS53" s="16184"/>
      <c r="CT53" s="16185"/>
      <c r="CU53" s="16183"/>
      <c r="CV53" s="16184"/>
      <c r="CW53" s="16184"/>
      <c r="CX53" s="16184"/>
      <c r="CY53" s="16184"/>
      <c r="CZ53" s="16184"/>
      <c r="DA53" s="16184"/>
      <c r="DB53" s="16184"/>
      <c r="DC53" s="16184"/>
      <c r="DD53" s="16184"/>
      <c r="DE53" s="16185"/>
      <c r="DF53" s="16183"/>
      <c r="DG53" s="16184"/>
      <c r="DH53" s="16184"/>
      <c r="DI53" s="16184"/>
      <c r="DJ53" s="16184"/>
      <c r="DK53" s="16184"/>
      <c r="DL53" s="16184"/>
      <c r="DM53" s="16184"/>
      <c r="DN53" s="16184"/>
      <c r="DO53" s="16184"/>
      <c r="DP53" s="16185"/>
      <c r="DQ53" s="16183"/>
      <c r="DR53" s="16184"/>
      <c r="DS53" s="16184"/>
      <c r="DT53" s="16184"/>
      <c r="DU53" s="16184"/>
      <c r="DV53" s="16184"/>
      <c r="DW53" s="16184"/>
      <c r="DX53" s="16184"/>
      <c r="DY53" s="16184"/>
      <c r="DZ53" s="16184"/>
      <c r="EA53" s="16185"/>
      <c r="EB53" s="16183"/>
      <c r="EC53" s="16184"/>
      <c r="ED53" s="16184"/>
      <c r="EE53" s="16184"/>
      <c r="EF53" s="16184"/>
      <c r="EG53" s="16184"/>
      <c r="EH53" s="16184"/>
      <c r="EI53" s="16184"/>
      <c r="EJ53" s="16184"/>
      <c r="EK53" s="16184"/>
      <c r="EL53" s="16185"/>
      <c r="EM53" s="16183"/>
      <c r="EN53" s="16184"/>
      <c r="EO53" s="16184"/>
      <c r="EP53" s="16184"/>
      <c r="EQ53" s="16184"/>
      <c r="ER53" s="16184"/>
      <c r="ES53" s="16184"/>
      <c r="ET53" s="16184"/>
      <c r="EU53" s="16184"/>
      <c r="EV53" s="16184"/>
      <c r="EW53" s="16185"/>
      <c r="EX53" s="16188"/>
      <c r="EY53" s="2511" t="s">
        <v>619</v>
      </c>
      <c r="EZ53" s="2199"/>
      <c r="FA53" s="2512"/>
      <c r="FB53" s="2512" t="str">
        <f t="shared" si="1"/>
        <v>Наименование признака дифференциации</v>
      </c>
      <c r="FC53" s="2512"/>
      <c r="FD53" s="2512"/>
    </row>
    <row r="54" spans="1:160" s="14530" customFormat="1" ht="23.25" customHeight="1">
      <c r="A54" s="2502"/>
      <c r="B54" s="2502"/>
      <c r="C54" s="2502"/>
      <c r="D54" s="2502"/>
      <c r="E54" s="16125"/>
      <c r="F54" s="16125"/>
      <c r="G54" s="16125">
        <v>1</v>
      </c>
      <c r="H54" s="16125"/>
      <c r="I54" s="16145"/>
      <c r="J54" s="16122" t="str">
        <f>I53&amp;".1"</f>
        <v>1.1.2.1.1</v>
      </c>
      <c r="K54" s="2502"/>
      <c r="L54" s="2503" t="s">
        <v>543</v>
      </c>
      <c r="M54" s="2513"/>
      <c r="N54" s="2513"/>
      <c r="O54" s="2513"/>
      <c r="P54" s="16123"/>
      <c r="Q54" s="16123">
        <v>1</v>
      </c>
      <c r="R54" s="2517"/>
      <c r="S54" s="2508" t="str">
        <f>$J54</f>
        <v>1.1.2.1.1</v>
      </c>
      <c r="T54" s="2518" t="s">
        <v>544</v>
      </c>
      <c r="U54" s="2510"/>
      <c r="V54" s="16113"/>
      <c r="W54" s="16114"/>
      <c r="X54" s="16114"/>
      <c r="Y54" s="16114"/>
      <c r="Z54" s="16114"/>
      <c r="AA54" s="16114"/>
      <c r="AB54" s="16114"/>
      <c r="AC54" s="16114"/>
      <c r="AD54" s="16114"/>
      <c r="AE54" s="16114"/>
      <c r="AF54" s="16115"/>
      <c r="AG54" s="16113" t="s">
        <v>678</v>
      </c>
      <c r="AH54" s="16114"/>
      <c r="AI54" s="16114"/>
      <c r="AJ54" s="16114"/>
      <c r="AK54" s="16114"/>
      <c r="AL54" s="16114"/>
      <c r="AM54" s="16114"/>
      <c r="AN54" s="16114"/>
      <c r="AO54" s="16114"/>
      <c r="AP54" s="16114"/>
      <c r="AQ54" s="16114"/>
      <c r="AR54" s="16113"/>
      <c r="AS54" s="16114"/>
      <c r="AT54" s="16114"/>
      <c r="AU54" s="16114"/>
      <c r="AV54" s="16114"/>
      <c r="AW54" s="16114"/>
      <c r="AX54" s="16114"/>
      <c r="AY54" s="16114"/>
      <c r="AZ54" s="16114"/>
      <c r="BA54" s="16114"/>
      <c r="BB54" s="16115"/>
      <c r="BC54" s="16113"/>
      <c r="BD54" s="16114"/>
      <c r="BE54" s="16114"/>
      <c r="BF54" s="16114"/>
      <c r="BG54" s="16114"/>
      <c r="BH54" s="16114"/>
      <c r="BI54" s="16114"/>
      <c r="BJ54" s="16114"/>
      <c r="BK54" s="16114"/>
      <c r="BL54" s="16114"/>
      <c r="BM54" s="16115"/>
      <c r="BN54" s="16113"/>
      <c r="BO54" s="16114"/>
      <c r="BP54" s="16114"/>
      <c r="BQ54" s="16114"/>
      <c r="BR54" s="16114"/>
      <c r="BS54" s="16114"/>
      <c r="BT54" s="16114"/>
      <c r="BU54" s="16114"/>
      <c r="BV54" s="16114"/>
      <c r="BW54" s="16114"/>
      <c r="BX54" s="16115"/>
      <c r="BY54" s="16113"/>
      <c r="BZ54" s="16114"/>
      <c r="CA54" s="16114"/>
      <c r="CB54" s="16114"/>
      <c r="CC54" s="16114"/>
      <c r="CD54" s="16114"/>
      <c r="CE54" s="16114"/>
      <c r="CF54" s="16114"/>
      <c r="CG54" s="16114"/>
      <c r="CH54" s="16114"/>
      <c r="CI54" s="16115"/>
      <c r="CJ54" s="16113"/>
      <c r="CK54" s="16114"/>
      <c r="CL54" s="16114"/>
      <c r="CM54" s="16114"/>
      <c r="CN54" s="16114"/>
      <c r="CO54" s="16114"/>
      <c r="CP54" s="16114"/>
      <c r="CQ54" s="16114"/>
      <c r="CR54" s="16114"/>
      <c r="CS54" s="16114"/>
      <c r="CT54" s="16115"/>
      <c r="CU54" s="16113"/>
      <c r="CV54" s="16114"/>
      <c r="CW54" s="16114"/>
      <c r="CX54" s="16114"/>
      <c r="CY54" s="16114"/>
      <c r="CZ54" s="16114"/>
      <c r="DA54" s="16114"/>
      <c r="DB54" s="16114"/>
      <c r="DC54" s="16114"/>
      <c r="DD54" s="16114"/>
      <c r="DE54" s="16115"/>
      <c r="DF54" s="16113"/>
      <c r="DG54" s="16114"/>
      <c r="DH54" s="16114"/>
      <c r="DI54" s="16114"/>
      <c r="DJ54" s="16114"/>
      <c r="DK54" s="16114"/>
      <c r="DL54" s="16114"/>
      <c r="DM54" s="16114"/>
      <c r="DN54" s="16114"/>
      <c r="DO54" s="16114"/>
      <c r="DP54" s="16115"/>
      <c r="DQ54" s="16113"/>
      <c r="DR54" s="16114"/>
      <c r="DS54" s="16114"/>
      <c r="DT54" s="16114"/>
      <c r="DU54" s="16114"/>
      <c r="DV54" s="16114"/>
      <c r="DW54" s="16114"/>
      <c r="DX54" s="16114"/>
      <c r="DY54" s="16114"/>
      <c r="DZ54" s="16114"/>
      <c r="EA54" s="16115"/>
      <c r="EB54" s="16113"/>
      <c r="EC54" s="16114"/>
      <c r="ED54" s="16114"/>
      <c r="EE54" s="16114"/>
      <c r="EF54" s="16114"/>
      <c r="EG54" s="16114"/>
      <c r="EH54" s="16114"/>
      <c r="EI54" s="16114"/>
      <c r="EJ54" s="16114"/>
      <c r="EK54" s="16114"/>
      <c r="EL54" s="16115"/>
      <c r="EM54" s="16113"/>
      <c r="EN54" s="16114"/>
      <c r="EO54" s="16114"/>
      <c r="EP54" s="16114"/>
      <c r="EQ54" s="16114"/>
      <c r="ER54" s="16114"/>
      <c r="ES54" s="16114"/>
      <c r="ET54" s="16114"/>
      <c r="EU54" s="16114"/>
      <c r="EV54" s="16114"/>
      <c r="EW54" s="16115"/>
      <c r="EX54" s="16115"/>
      <c r="EY54" s="2519" t="s">
        <v>620</v>
      </c>
      <c r="EZ54" s="2199"/>
      <c r="FA54" s="2512"/>
      <c r="FB54" s="2512" t="str">
        <f t="shared" si="1"/>
        <v>Группа потребителей</v>
      </c>
      <c r="FC54" s="2512"/>
      <c r="FD54" s="2512"/>
    </row>
    <row r="55" spans="1:160" s="14531" customFormat="1" ht="23.25" customHeight="1">
      <c r="A55" s="2502"/>
      <c r="B55" s="2502"/>
      <c r="C55" s="2502"/>
      <c r="D55" s="2502"/>
      <c r="E55" s="16125"/>
      <c r="F55" s="16125"/>
      <c r="G55" s="16125">
        <v>1</v>
      </c>
      <c r="H55" s="16125"/>
      <c r="I55" s="16145"/>
      <c r="J55" s="16145"/>
      <c r="K55" s="16122" t="str">
        <f>J54&amp;".1"</f>
        <v>1.1.2.1.1.1</v>
      </c>
      <c r="L55" s="2503"/>
      <c r="M55" s="2513"/>
      <c r="N55" s="2513"/>
      <c r="O55" s="2513"/>
      <c r="P55" s="16123"/>
      <c r="Q55" s="16123"/>
      <c r="R55" s="2517">
        <v>1</v>
      </c>
      <c r="S55" s="2508" t="str">
        <f>$K55</f>
        <v>1.1.2.1.1.1</v>
      </c>
      <c r="T55" s="2520"/>
      <c r="U55" s="2510"/>
      <c r="V55" s="1893"/>
      <c r="W55" s="1893"/>
      <c r="X55" s="1893"/>
      <c r="Y55" s="1893"/>
      <c r="Z55" s="1893"/>
      <c r="AA55" s="1893"/>
      <c r="AB55" s="1893"/>
      <c r="AC55" s="16127"/>
      <c r="AD55" s="15973" t="s">
        <v>66</v>
      </c>
      <c r="AE55" s="16127"/>
      <c r="AF55" s="15973" t="s">
        <v>66</v>
      </c>
      <c r="AG55" s="1893">
        <v>41.45</v>
      </c>
      <c r="AH55" s="1893"/>
      <c r="AI55" s="1893"/>
      <c r="AJ55" s="1893"/>
      <c r="AK55" s="1893">
        <v>3724.16</v>
      </c>
      <c r="AL55" s="1893"/>
      <c r="AM55" s="1893"/>
      <c r="AN55" s="16127">
        <v>45292</v>
      </c>
      <c r="AO55" s="15973" t="s">
        <v>66</v>
      </c>
      <c r="AP55" s="16146">
        <v>45378</v>
      </c>
      <c r="AQ55" s="15973" t="s">
        <v>66</v>
      </c>
      <c r="AR55" s="1893">
        <v>41.45</v>
      </c>
      <c r="AS55" s="1893"/>
      <c r="AT55" s="1893"/>
      <c r="AU55" s="1893"/>
      <c r="AV55" s="1893">
        <v>3724.16</v>
      </c>
      <c r="AW55" s="1893"/>
      <c r="AX55" s="1893"/>
      <c r="AY55" s="16127">
        <v>45379</v>
      </c>
      <c r="AZ55" s="15973" t="s">
        <v>66</v>
      </c>
      <c r="BA55" s="16127">
        <v>45473</v>
      </c>
      <c r="BB55" s="15973" t="s">
        <v>66</v>
      </c>
      <c r="BC55" s="1893">
        <v>45.85</v>
      </c>
      <c r="BD55" s="1893"/>
      <c r="BE55" s="1893"/>
      <c r="BF55" s="1893"/>
      <c r="BG55" s="1893">
        <v>4000</v>
      </c>
      <c r="BH55" s="1893"/>
      <c r="BI55" s="1893"/>
      <c r="BJ55" s="16127">
        <v>45474</v>
      </c>
      <c r="BK55" s="15973" t="s">
        <v>66</v>
      </c>
      <c r="BL55" s="16127">
        <v>45657</v>
      </c>
      <c r="BM55" s="15973" t="s">
        <v>66</v>
      </c>
      <c r="BN55" s="1893">
        <v>43.39</v>
      </c>
      <c r="BO55" s="1893"/>
      <c r="BP55" s="1893"/>
      <c r="BQ55" s="1893"/>
      <c r="BR55" s="1893">
        <v>4000</v>
      </c>
      <c r="BS55" s="1893"/>
      <c r="BT55" s="1893"/>
      <c r="BU55" s="16127">
        <v>45658</v>
      </c>
      <c r="BV55" s="15973" t="s">
        <v>66</v>
      </c>
      <c r="BW55" s="16127">
        <v>45838</v>
      </c>
      <c r="BX55" s="15973" t="s">
        <v>66</v>
      </c>
      <c r="BY55" s="1893">
        <v>45.13</v>
      </c>
      <c r="BZ55" s="1893"/>
      <c r="CA55" s="1893"/>
      <c r="CB55" s="1893"/>
      <c r="CC55" s="1893">
        <v>4168</v>
      </c>
      <c r="CD55" s="1893"/>
      <c r="CE55" s="1893"/>
      <c r="CF55" s="16127">
        <v>45839</v>
      </c>
      <c r="CG55" s="15973" t="s">
        <v>66</v>
      </c>
      <c r="CH55" s="16127">
        <v>46022</v>
      </c>
      <c r="CI55" s="15973" t="s">
        <v>66</v>
      </c>
      <c r="CJ55" s="1893">
        <v>45.13</v>
      </c>
      <c r="CK55" s="1893"/>
      <c r="CL55" s="1893"/>
      <c r="CM55" s="1893"/>
      <c r="CN55" s="1893">
        <v>4168</v>
      </c>
      <c r="CO55" s="1893"/>
      <c r="CP55" s="1893"/>
      <c r="CQ55" s="16127">
        <v>46023</v>
      </c>
      <c r="CR55" s="15973" t="s">
        <v>66</v>
      </c>
      <c r="CS55" s="16127">
        <v>46203</v>
      </c>
      <c r="CT55" s="15973" t="s">
        <v>66</v>
      </c>
      <c r="CU55" s="1893">
        <v>46.93</v>
      </c>
      <c r="CV55" s="1893"/>
      <c r="CW55" s="1893"/>
      <c r="CX55" s="1893"/>
      <c r="CY55" s="1893">
        <v>4334.72</v>
      </c>
      <c r="CZ55" s="1893"/>
      <c r="DA55" s="1893"/>
      <c r="DB55" s="16127">
        <v>46204</v>
      </c>
      <c r="DC55" s="15973" t="s">
        <v>66</v>
      </c>
      <c r="DD55" s="16127">
        <v>46387</v>
      </c>
      <c r="DE55" s="15973" t="s">
        <v>66</v>
      </c>
      <c r="DF55" s="1893">
        <v>46.93</v>
      </c>
      <c r="DG55" s="1893"/>
      <c r="DH55" s="1893"/>
      <c r="DI55" s="1893"/>
      <c r="DJ55" s="1893">
        <v>4334.72</v>
      </c>
      <c r="DK55" s="1893"/>
      <c r="DL55" s="1893"/>
      <c r="DM55" s="16127">
        <v>46388</v>
      </c>
      <c r="DN55" s="15973" t="s">
        <v>66</v>
      </c>
      <c r="DO55" s="16127">
        <v>46568</v>
      </c>
      <c r="DP55" s="15973" t="s">
        <v>66</v>
      </c>
      <c r="DQ55" s="1893">
        <v>48.34</v>
      </c>
      <c r="DR55" s="1893"/>
      <c r="DS55" s="1893"/>
      <c r="DT55" s="1893"/>
      <c r="DU55" s="1893">
        <v>4508.1099999999997</v>
      </c>
      <c r="DV55" s="1893"/>
      <c r="DW55" s="1893"/>
      <c r="DX55" s="16127">
        <v>46569</v>
      </c>
      <c r="DY55" s="15973" t="s">
        <v>66</v>
      </c>
      <c r="DZ55" s="16127">
        <v>46752</v>
      </c>
      <c r="EA55" s="15973" t="s">
        <v>66</v>
      </c>
      <c r="EB55" s="1893">
        <v>48.34</v>
      </c>
      <c r="EC55" s="1893"/>
      <c r="ED55" s="1893"/>
      <c r="EE55" s="1893"/>
      <c r="EF55" s="1893">
        <v>4508.1099999999997</v>
      </c>
      <c r="EG55" s="1893"/>
      <c r="EH55" s="1893"/>
      <c r="EI55" s="16127">
        <v>46753</v>
      </c>
      <c r="EJ55" s="15973" t="s">
        <v>66</v>
      </c>
      <c r="EK55" s="16127">
        <v>46934</v>
      </c>
      <c r="EL55" s="15973" t="s">
        <v>66</v>
      </c>
      <c r="EM55" s="14448">
        <v>50.27</v>
      </c>
      <c r="EN55" s="14448"/>
      <c r="EO55" s="14448"/>
      <c r="EP55" s="14448"/>
      <c r="EQ55" s="14448">
        <v>4688.43</v>
      </c>
      <c r="ER55" s="14448"/>
      <c r="ES55" s="14448"/>
      <c r="ET55" s="16127">
        <v>46935</v>
      </c>
      <c r="EU55" s="15973" t="s">
        <v>66</v>
      </c>
      <c r="EV55" s="16127">
        <v>47118</v>
      </c>
      <c r="EW55" s="15973" t="s">
        <v>66</v>
      </c>
      <c r="EX55" s="2521"/>
      <c r="EY55"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55" s="2199" t="e">
        <f ca="1">STRCHECKDATE(V56:EX56)</f>
        <v>#NAME?</v>
      </c>
      <c r="FA55" s="2512"/>
      <c r="FB55" s="2512" t="str">
        <f t="shared" si="1"/>
        <v/>
      </c>
      <c r="FC55" s="2512"/>
      <c r="FD55" s="2512"/>
    </row>
    <row r="56" spans="1:160" s="14532" customFormat="1" ht="14.25" customHeight="1">
      <c r="A56" s="2502"/>
      <c r="B56" s="2502"/>
      <c r="C56" s="2502"/>
      <c r="D56" s="2502"/>
      <c r="E56" s="16125"/>
      <c r="F56" s="16125"/>
      <c r="G56" s="16125">
        <v>1</v>
      </c>
      <c r="H56" s="16125"/>
      <c r="I56" s="16145"/>
      <c r="J56" s="16145"/>
      <c r="K56" s="16122"/>
      <c r="L56" s="2503"/>
      <c r="M56" s="2513"/>
      <c r="N56" s="2513"/>
      <c r="O56" s="2513"/>
      <c r="P56" s="16123"/>
      <c r="Q56" s="16123"/>
      <c r="R56" s="2517"/>
      <c r="S56" s="2522"/>
      <c r="T56" s="2510"/>
      <c r="U56" s="2510"/>
      <c r="V56" s="1894"/>
      <c r="W56" s="1894"/>
      <c r="X56" s="1894"/>
      <c r="Y56" s="1894"/>
      <c r="Z56" s="1894"/>
      <c r="AA56" s="1894"/>
      <c r="AB56" s="1894"/>
      <c r="AC56" s="16128"/>
      <c r="AD56" s="15973"/>
      <c r="AE56" s="16128"/>
      <c r="AF56" s="15973"/>
      <c r="AG56" s="1894"/>
      <c r="AH56" s="1894"/>
      <c r="AI56" s="1894"/>
      <c r="AJ56" s="1894"/>
      <c r="AK56" s="1894"/>
      <c r="AL56" s="1894"/>
      <c r="AM56" s="1894"/>
      <c r="AN56" s="16128"/>
      <c r="AO56" s="15973"/>
      <c r="AP56" s="16147"/>
      <c r="AQ56" s="15973"/>
      <c r="AR56" s="1894"/>
      <c r="AS56" s="1894"/>
      <c r="AT56" s="1894"/>
      <c r="AU56" s="1894"/>
      <c r="AV56" s="1894"/>
      <c r="AW56" s="1894"/>
      <c r="AX56" s="1894"/>
      <c r="AY56" s="16128"/>
      <c r="AZ56" s="15973"/>
      <c r="BA56" s="16128"/>
      <c r="BB56" s="15973"/>
      <c r="BC56" s="1894"/>
      <c r="BD56" s="1894"/>
      <c r="BE56" s="1894"/>
      <c r="BF56" s="1894"/>
      <c r="BG56" s="1894"/>
      <c r="BH56" s="1894"/>
      <c r="BI56" s="1894"/>
      <c r="BJ56" s="16128"/>
      <c r="BK56" s="15973"/>
      <c r="BL56" s="16128"/>
      <c r="BM56" s="15973"/>
      <c r="BN56" s="1894"/>
      <c r="BO56" s="1894"/>
      <c r="BP56" s="1894"/>
      <c r="BQ56" s="1894"/>
      <c r="BR56" s="1894"/>
      <c r="BS56" s="1894"/>
      <c r="BT56" s="1894"/>
      <c r="BU56" s="16128"/>
      <c r="BV56" s="15973"/>
      <c r="BW56" s="16128"/>
      <c r="BX56" s="15973"/>
      <c r="BY56" s="1894"/>
      <c r="BZ56" s="1894"/>
      <c r="CA56" s="1894"/>
      <c r="CB56" s="1894"/>
      <c r="CC56" s="1894"/>
      <c r="CD56" s="1894"/>
      <c r="CE56" s="1894"/>
      <c r="CF56" s="16128"/>
      <c r="CG56" s="15973"/>
      <c r="CH56" s="16128"/>
      <c r="CI56" s="15973"/>
      <c r="CJ56" s="1894"/>
      <c r="CK56" s="1894"/>
      <c r="CL56" s="1894"/>
      <c r="CM56" s="1894"/>
      <c r="CN56" s="1894"/>
      <c r="CO56" s="1894"/>
      <c r="CP56" s="1894"/>
      <c r="CQ56" s="16128"/>
      <c r="CR56" s="15973"/>
      <c r="CS56" s="16128"/>
      <c r="CT56" s="15973"/>
      <c r="CU56" s="1894"/>
      <c r="CV56" s="1894"/>
      <c r="CW56" s="1894"/>
      <c r="CX56" s="1894"/>
      <c r="CY56" s="1894"/>
      <c r="CZ56" s="1894"/>
      <c r="DA56" s="1894"/>
      <c r="DB56" s="16128"/>
      <c r="DC56" s="15973"/>
      <c r="DD56" s="16128"/>
      <c r="DE56" s="15973"/>
      <c r="DF56" s="1894"/>
      <c r="DG56" s="1894"/>
      <c r="DH56" s="1894"/>
      <c r="DI56" s="1894"/>
      <c r="DJ56" s="1894"/>
      <c r="DK56" s="1894"/>
      <c r="DL56" s="1894"/>
      <c r="DM56" s="16128"/>
      <c r="DN56" s="15973"/>
      <c r="DO56" s="16128"/>
      <c r="DP56" s="15973"/>
      <c r="DQ56" s="1894"/>
      <c r="DR56" s="1894"/>
      <c r="DS56" s="1894"/>
      <c r="DT56" s="1894"/>
      <c r="DU56" s="1894"/>
      <c r="DV56" s="1894"/>
      <c r="DW56" s="1894"/>
      <c r="DX56" s="16128"/>
      <c r="DY56" s="15973"/>
      <c r="DZ56" s="16128"/>
      <c r="EA56" s="15973"/>
      <c r="EB56" s="1894"/>
      <c r="EC56" s="1894"/>
      <c r="ED56" s="1894"/>
      <c r="EE56" s="1894"/>
      <c r="EF56" s="1894"/>
      <c r="EG56" s="1894"/>
      <c r="EH56" s="1894"/>
      <c r="EI56" s="16128"/>
      <c r="EJ56" s="15973"/>
      <c r="EK56" s="16128"/>
      <c r="EL56" s="15973"/>
      <c r="EM56" s="14449"/>
      <c r="EN56" s="14449"/>
      <c r="EO56" s="14449"/>
      <c r="EP56" s="14449"/>
      <c r="EQ56" s="14449"/>
      <c r="ER56" s="14449"/>
      <c r="ES56" s="14449"/>
      <c r="ET56" s="16128"/>
      <c r="EU56" s="15973"/>
      <c r="EV56" s="16128"/>
      <c r="EW56" s="15973"/>
      <c r="EX56" s="2523"/>
      <c r="EY56" s="16182"/>
      <c r="EZ56" s="2199"/>
      <c r="FA56" s="2512"/>
      <c r="FB56" s="2512" t="str">
        <f t="shared" si="1"/>
        <v/>
      </c>
      <c r="FC56" s="2512"/>
      <c r="FD56" s="2512"/>
    </row>
    <row r="57" spans="1:160" s="14533" customFormat="1" ht="21" customHeight="1">
      <c r="A57" s="2502"/>
      <c r="B57" s="2502"/>
      <c r="C57" s="2502"/>
      <c r="D57" s="2502"/>
      <c r="E57" s="16125"/>
      <c r="F57" s="16125"/>
      <c r="G57" s="16125">
        <v>1</v>
      </c>
      <c r="H57" s="16125"/>
      <c r="I57" s="16145"/>
      <c r="J57" s="16122"/>
      <c r="K57" s="2502"/>
      <c r="L57" s="2503"/>
      <c r="M57" s="2513"/>
      <c r="N57" s="2513"/>
      <c r="O57" s="2513"/>
      <c r="P57" s="16123"/>
      <c r="Q57" s="16123"/>
      <c r="R57" s="2515"/>
      <c r="S57" s="2524"/>
      <c r="T57" s="2525" t="s">
        <v>621</v>
      </c>
      <c r="U57" s="2526"/>
      <c r="V57" s="2527"/>
      <c r="W57" s="2528"/>
      <c r="X57" s="2529"/>
      <c r="Y57" s="2530"/>
      <c r="Z57" s="2531"/>
      <c r="AA57" s="2532"/>
      <c r="AB57" s="2533"/>
      <c r="AC57" s="2534"/>
      <c r="AD57" s="2535"/>
      <c r="AE57" s="2536"/>
      <c r="AF57" s="2537"/>
      <c r="AG57" s="2538"/>
      <c r="AH57" s="2539"/>
      <c r="AI57" s="2540"/>
      <c r="AJ57" s="2541"/>
      <c r="AK57" s="2542"/>
      <c r="AL57" s="2543"/>
      <c r="AM57" s="2544"/>
      <c r="AN57" s="2545"/>
      <c r="AO57" s="2546"/>
      <c r="AP57" s="2547"/>
      <c r="AQ57" s="2548"/>
      <c r="AR57" s="2549"/>
      <c r="AS57" s="2550"/>
      <c r="AT57" s="2551"/>
      <c r="AU57" s="2552"/>
      <c r="AV57" s="2553"/>
      <c r="AW57" s="2554"/>
      <c r="AX57" s="2555"/>
      <c r="AY57" s="2556"/>
      <c r="AZ57" s="2557"/>
      <c r="BA57" s="2558"/>
      <c r="BB57" s="2559"/>
      <c r="BC57" s="2560"/>
      <c r="BD57" s="2561"/>
      <c r="BE57" s="2562"/>
      <c r="BF57" s="2563"/>
      <c r="BG57" s="2564"/>
      <c r="BH57" s="2565"/>
      <c r="BI57" s="2566"/>
      <c r="BJ57" s="2567"/>
      <c r="BK57" s="2568"/>
      <c r="BL57" s="2569"/>
      <c r="BM57" s="2570"/>
      <c r="BN57" s="2571"/>
      <c r="BO57" s="2572"/>
      <c r="BP57" s="2573"/>
      <c r="BQ57" s="2574"/>
      <c r="BR57" s="2575"/>
      <c r="BS57" s="2576"/>
      <c r="BT57" s="2577"/>
      <c r="BU57" s="2578"/>
      <c r="BV57" s="2579"/>
      <c r="BW57" s="2580"/>
      <c r="BX57" s="2581"/>
      <c r="BY57" s="2582"/>
      <c r="BZ57" s="2583"/>
      <c r="CA57" s="2584"/>
      <c r="CB57" s="2585"/>
      <c r="CC57" s="2586"/>
      <c r="CD57" s="2587"/>
      <c r="CE57" s="2588"/>
      <c r="CF57" s="2589"/>
      <c r="CG57" s="2590"/>
      <c r="CH57" s="2591"/>
      <c r="CI57" s="2592"/>
      <c r="CJ57" s="2593"/>
      <c r="CK57" s="2594"/>
      <c r="CL57" s="2595"/>
      <c r="CM57" s="2596"/>
      <c r="CN57" s="2597"/>
      <c r="CO57" s="2598"/>
      <c r="CP57" s="2599"/>
      <c r="CQ57" s="2600"/>
      <c r="CR57" s="2601"/>
      <c r="CS57" s="2602"/>
      <c r="CT57" s="2603"/>
      <c r="CU57" s="2604"/>
      <c r="CV57" s="2605"/>
      <c r="CW57" s="2606"/>
      <c r="CX57" s="2607"/>
      <c r="CY57" s="2608"/>
      <c r="CZ57" s="2609"/>
      <c r="DA57" s="2610"/>
      <c r="DB57" s="2611"/>
      <c r="DC57" s="2612"/>
      <c r="DD57" s="2613"/>
      <c r="DE57" s="2614"/>
      <c r="DF57" s="2615"/>
      <c r="DG57" s="2616"/>
      <c r="DH57" s="2617"/>
      <c r="DI57" s="2618"/>
      <c r="DJ57" s="2619"/>
      <c r="DK57" s="2620"/>
      <c r="DL57" s="2621"/>
      <c r="DM57" s="2622"/>
      <c r="DN57" s="2623"/>
      <c r="DO57" s="2624"/>
      <c r="DP57" s="2625"/>
      <c r="DQ57" s="2626"/>
      <c r="DR57" s="2627"/>
      <c r="DS57" s="2628"/>
      <c r="DT57" s="2629"/>
      <c r="DU57" s="2630"/>
      <c r="DV57" s="2631"/>
      <c r="DW57" s="2632"/>
      <c r="DX57" s="2633"/>
      <c r="DY57" s="2634"/>
      <c r="DZ57" s="2635"/>
      <c r="EA57" s="2636"/>
      <c r="EB57" s="2637"/>
      <c r="EC57" s="2638"/>
      <c r="ED57" s="2639"/>
      <c r="EE57" s="2640"/>
      <c r="EF57" s="2641"/>
      <c r="EG57" s="2642"/>
      <c r="EH57" s="2643"/>
      <c r="EI57" s="2644"/>
      <c r="EJ57" s="2645"/>
      <c r="EK57" s="2646"/>
      <c r="EL57" s="2647"/>
      <c r="EM57" s="14534"/>
      <c r="EN57" s="14535"/>
      <c r="EO57" s="14536"/>
      <c r="EP57" s="14537"/>
      <c r="EQ57" s="14538"/>
      <c r="ER57" s="14539"/>
      <c r="ES57" s="14540"/>
      <c r="ET57" s="14541"/>
      <c r="EU57" s="14542"/>
      <c r="EV57" s="14543"/>
      <c r="EW57" s="14544"/>
      <c r="EX57" s="2648"/>
      <c r="EY57" s="2511" t="s">
        <v>622</v>
      </c>
      <c r="EZ57" s="2199"/>
      <c r="FA57" s="2512"/>
      <c r="FB57" s="2512" t="str">
        <f t="shared" si="1"/>
        <v>Добавить значение признака дифференциации</v>
      </c>
      <c r="FC57" s="2512"/>
      <c r="FD57" s="2512"/>
    </row>
    <row r="58" spans="1:160" s="14545" customFormat="1" ht="21" customHeight="1">
      <c r="A58" s="2502"/>
      <c r="B58" s="2502"/>
      <c r="C58" s="2502"/>
      <c r="D58" s="2502"/>
      <c r="E58" s="16125"/>
      <c r="F58" s="16125"/>
      <c r="G58" s="16125">
        <v>1</v>
      </c>
      <c r="H58" s="16125"/>
      <c r="I58" s="16122"/>
      <c r="J58" s="2502"/>
      <c r="K58" s="2502"/>
      <c r="L58" s="2503"/>
      <c r="M58" s="2513"/>
      <c r="N58" s="2513"/>
      <c r="O58" s="2513"/>
      <c r="P58" s="16123"/>
      <c r="Q58" s="2514"/>
      <c r="R58" s="2515"/>
      <c r="S58" s="2649"/>
      <c r="T58" s="2650" t="s">
        <v>549</v>
      </c>
      <c r="U58" s="2651"/>
      <c r="V58" s="2652"/>
      <c r="W58" s="2653"/>
      <c r="X58" s="2654"/>
      <c r="Y58" s="2655"/>
      <c r="Z58" s="2656"/>
      <c r="AA58" s="2657"/>
      <c r="AB58" s="2658"/>
      <c r="AC58" s="2659"/>
      <c r="AD58" s="2660"/>
      <c r="AE58" s="2661"/>
      <c r="AF58" s="2662"/>
      <c r="AG58" s="2663"/>
      <c r="AH58" s="2664"/>
      <c r="AI58" s="2665"/>
      <c r="AJ58" s="2666"/>
      <c r="AK58" s="2667"/>
      <c r="AL58" s="2668"/>
      <c r="AM58" s="2669"/>
      <c r="AN58" s="2670"/>
      <c r="AO58" s="2671"/>
      <c r="AP58" s="2672"/>
      <c r="AQ58" s="2673"/>
      <c r="AR58" s="2674"/>
      <c r="AS58" s="2675"/>
      <c r="AT58" s="2676"/>
      <c r="AU58" s="2677"/>
      <c r="AV58" s="2678"/>
      <c r="AW58" s="2679"/>
      <c r="AX58" s="2680"/>
      <c r="AY58" s="2681"/>
      <c r="AZ58" s="2682"/>
      <c r="BA58" s="2683"/>
      <c r="BB58" s="2684"/>
      <c r="BC58" s="2685"/>
      <c r="BD58" s="2686"/>
      <c r="BE58" s="2687"/>
      <c r="BF58" s="2688"/>
      <c r="BG58" s="2689"/>
      <c r="BH58" s="2690"/>
      <c r="BI58" s="2691"/>
      <c r="BJ58" s="2692"/>
      <c r="BK58" s="2693"/>
      <c r="BL58" s="2694"/>
      <c r="BM58" s="2695"/>
      <c r="BN58" s="2696"/>
      <c r="BO58" s="2697"/>
      <c r="BP58" s="2698"/>
      <c r="BQ58" s="2699"/>
      <c r="BR58" s="2700"/>
      <c r="BS58" s="2701"/>
      <c r="BT58" s="2702"/>
      <c r="BU58" s="2703"/>
      <c r="BV58" s="2704"/>
      <c r="BW58" s="2705"/>
      <c r="BX58" s="2706"/>
      <c r="BY58" s="2707"/>
      <c r="BZ58" s="2708"/>
      <c r="CA58" s="2709"/>
      <c r="CB58" s="2710"/>
      <c r="CC58" s="2711"/>
      <c r="CD58" s="2712"/>
      <c r="CE58" s="2713"/>
      <c r="CF58" s="2714"/>
      <c r="CG58" s="2715"/>
      <c r="CH58" s="2716"/>
      <c r="CI58" s="2717"/>
      <c r="CJ58" s="2718"/>
      <c r="CK58" s="2719"/>
      <c r="CL58" s="2720"/>
      <c r="CM58" s="2721"/>
      <c r="CN58" s="2722"/>
      <c r="CO58" s="2723"/>
      <c r="CP58" s="2724"/>
      <c r="CQ58" s="2725"/>
      <c r="CR58" s="2726"/>
      <c r="CS58" s="2727"/>
      <c r="CT58" s="2728"/>
      <c r="CU58" s="2729"/>
      <c r="CV58" s="2730"/>
      <c r="CW58" s="2731"/>
      <c r="CX58" s="2732"/>
      <c r="CY58" s="2733"/>
      <c r="CZ58" s="2734"/>
      <c r="DA58" s="2735"/>
      <c r="DB58" s="2736"/>
      <c r="DC58" s="2737"/>
      <c r="DD58" s="2738"/>
      <c r="DE58" s="2739"/>
      <c r="DF58" s="2740"/>
      <c r="DG58" s="2741"/>
      <c r="DH58" s="2742"/>
      <c r="DI58" s="2743"/>
      <c r="DJ58" s="2744"/>
      <c r="DK58" s="2745"/>
      <c r="DL58" s="2746"/>
      <c r="DM58" s="2747"/>
      <c r="DN58" s="2748"/>
      <c r="DO58" s="2749"/>
      <c r="DP58" s="2750"/>
      <c r="DQ58" s="2751"/>
      <c r="DR58" s="2752"/>
      <c r="DS58" s="2753"/>
      <c r="DT58" s="2754"/>
      <c r="DU58" s="2755"/>
      <c r="DV58" s="2756"/>
      <c r="DW58" s="2757"/>
      <c r="DX58" s="2758"/>
      <c r="DY58" s="2759"/>
      <c r="DZ58" s="2760"/>
      <c r="EA58" s="2761"/>
      <c r="EB58" s="2762"/>
      <c r="EC58" s="2763"/>
      <c r="ED58" s="2764"/>
      <c r="EE58" s="2765"/>
      <c r="EF58" s="2766"/>
      <c r="EG58" s="2767"/>
      <c r="EH58" s="2768"/>
      <c r="EI58" s="2769"/>
      <c r="EJ58" s="2770"/>
      <c r="EK58" s="2771"/>
      <c r="EL58" s="2772"/>
      <c r="EM58" s="14546"/>
      <c r="EN58" s="14547"/>
      <c r="EO58" s="14548"/>
      <c r="EP58" s="14549"/>
      <c r="EQ58" s="14550"/>
      <c r="ER58" s="14551"/>
      <c r="ES58" s="14552"/>
      <c r="ET58" s="14553"/>
      <c r="EU58" s="14554"/>
      <c r="EV58" s="14555"/>
      <c r="EW58" s="14556"/>
      <c r="EX58" s="2773"/>
      <c r="EY58" s="2774"/>
      <c r="EZ58" s="2199"/>
      <c r="FA58" s="2512"/>
      <c r="FB58" s="2512" t="str">
        <f t="shared" si="1"/>
        <v>Добавить группу потребителей</v>
      </c>
      <c r="FC58" s="2512"/>
      <c r="FD58" s="2512"/>
    </row>
    <row r="59" spans="1:160" s="14557" customFormat="1" ht="21" customHeight="1">
      <c r="A59" s="2502"/>
      <c r="B59" s="2502"/>
      <c r="C59" s="2502"/>
      <c r="D59" s="2502"/>
      <c r="E59" s="16125"/>
      <c r="F59" s="16125"/>
      <c r="G59" s="16125">
        <v>1</v>
      </c>
      <c r="H59" s="16124"/>
      <c r="I59" s="2502"/>
      <c r="J59" s="2502"/>
      <c r="K59" s="2502"/>
      <c r="L59" s="2503"/>
      <c r="M59" s="2504"/>
      <c r="N59" s="2504"/>
      <c r="O59" s="2193"/>
      <c r="P59" s="2775"/>
      <c r="Q59" s="2776"/>
      <c r="R59" s="2777"/>
      <c r="S59" s="2778"/>
      <c r="T59" s="2779" t="s">
        <v>623</v>
      </c>
      <c r="U59" s="2780"/>
      <c r="V59" s="2781"/>
      <c r="W59" s="2782"/>
      <c r="X59" s="2783"/>
      <c r="Y59" s="2784"/>
      <c r="Z59" s="2785"/>
      <c r="AA59" s="2786"/>
      <c r="AB59" s="2787"/>
      <c r="AC59" s="2788"/>
      <c r="AD59" s="2789"/>
      <c r="AE59" s="2790"/>
      <c r="AF59" s="2791"/>
      <c r="AG59" s="2792"/>
      <c r="AH59" s="2793"/>
      <c r="AI59" s="2794"/>
      <c r="AJ59" s="2795"/>
      <c r="AK59" s="2796"/>
      <c r="AL59" s="2797"/>
      <c r="AM59" s="2798"/>
      <c r="AN59" s="2799"/>
      <c r="AO59" s="2800"/>
      <c r="AP59" s="2801"/>
      <c r="AQ59" s="2802"/>
      <c r="AR59" s="2803"/>
      <c r="AS59" s="2804"/>
      <c r="AT59" s="2805"/>
      <c r="AU59" s="2806"/>
      <c r="AV59" s="2807"/>
      <c r="AW59" s="2808"/>
      <c r="AX59" s="2809"/>
      <c r="AY59" s="2810"/>
      <c r="AZ59" s="2811"/>
      <c r="BA59" s="2812"/>
      <c r="BB59" s="2813"/>
      <c r="BC59" s="2814"/>
      <c r="BD59" s="2815"/>
      <c r="BE59" s="2816"/>
      <c r="BF59" s="2817"/>
      <c r="BG59" s="2818"/>
      <c r="BH59" s="2819"/>
      <c r="BI59" s="2820"/>
      <c r="BJ59" s="2821"/>
      <c r="BK59" s="2822"/>
      <c r="BL59" s="2823"/>
      <c r="BM59" s="2824"/>
      <c r="BN59" s="2825"/>
      <c r="BO59" s="2826"/>
      <c r="BP59" s="2827"/>
      <c r="BQ59" s="2828"/>
      <c r="BR59" s="2829"/>
      <c r="BS59" s="2830"/>
      <c r="BT59" s="2831"/>
      <c r="BU59" s="2832"/>
      <c r="BV59" s="2833"/>
      <c r="BW59" s="2834"/>
      <c r="BX59" s="2835"/>
      <c r="BY59" s="2836"/>
      <c r="BZ59" s="2837"/>
      <c r="CA59" s="2838"/>
      <c r="CB59" s="2839"/>
      <c r="CC59" s="2840"/>
      <c r="CD59" s="2841"/>
      <c r="CE59" s="2842"/>
      <c r="CF59" s="2843"/>
      <c r="CG59" s="2844"/>
      <c r="CH59" s="2845"/>
      <c r="CI59" s="2846"/>
      <c r="CJ59" s="2847"/>
      <c r="CK59" s="2848"/>
      <c r="CL59" s="2849"/>
      <c r="CM59" s="2850"/>
      <c r="CN59" s="2851"/>
      <c r="CO59" s="2852"/>
      <c r="CP59" s="2853"/>
      <c r="CQ59" s="2854"/>
      <c r="CR59" s="2855"/>
      <c r="CS59" s="2856"/>
      <c r="CT59" s="2857"/>
      <c r="CU59" s="2858"/>
      <c r="CV59" s="2859"/>
      <c r="CW59" s="2860"/>
      <c r="CX59" s="2861"/>
      <c r="CY59" s="2862"/>
      <c r="CZ59" s="2863"/>
      <c r="DA59" s="2864"/>
      <c r="DB59" s="2865"/>
      <c r="DC59" s="2866"/>
      <c r="DD59" s="2867"/>
      <c r="DE59" s="2868"/>
      <c r="DF59" s="2869"/>
      <c r="DG59" s="2870"/>
      <c r="DH59" s="2871"/>
      <c r="DI59" s="2872"/>
      <c r="DJ59" s="2873"/>
      <c r="DK59" s="2874"/>
      <c r="DL59" s="2875"/>
      <c r="DM59" s="2876"/>
      <c r="DN59" s="2877"/>
      <c r="DO59" s="2878"/>
      <c r="DP59" s="2879"/>
      <c r="DQ59" s="2880"/>
      <c r="DR59" s="2881"/>
      <c r="DS59" s="2882"/>
      <c r="DT59" s="2883"/>
      <c r="DU59" s="2884"/>
      <c r="DV59" s="2885"/>
      <c r="DW59" s="2886"/>
      <c r="DX59" s="2887"/>
      <c r="DY59" s="2888"/>
      <c r="DZ59" s="2889"/>
      <c r="EA59" s="2890"/>
      <c r="EB59" s="2891"/>
      <c r="EC59" s="2892"/>
      <c r="ED59" s="2893"/>
      <c r="EE59" s="2894"/>
      <c r="EF59" s="2895"/>
      <c r="EG59" s="2896"/>
      <c r="EH59" s="2897"/>
      <c r="EI59" s="2898"/>
      <c r="EJ59" s="2899"/>
      <c r="EK59" s="2900"/>
      <c r="EL59" s="2901"/>
      <c r="EM59" s="14558"/>
      <c r="EN59" s="14559"/>
      <c r="EO59" s="14560"/>
      <c r="EP59" s="14561"/>
      <c r="EQ59" s="14562"/>
      <c r="ER59" s="14563"/>
      <c r="ES59" s="14564"/>
      <c r="ET59" s="14565"/>
      <c r="EU59" s="14566"/>
      <c r="EV59" s="14567"/>
      <c r="EW59" s="14568"/>
      <c r="EX59" s="2902"/>
      <c r="EY59" s="2903"/>
      <c r="EZ59" s="2199"/>
      <c r="FA59" s="2512"/>
      <c r="FB59" s="2512" t="str">
        <f t="shared" si="1"/>
        <v>Добавить наименование признака дифференциации</v>
      </c>
      <c r="FC59" s="2512"/>
      <c r="FD59" s="2512"/>
    </row>
    <row r="60" spans="1:160" s="14418" customFormat="1" ht="0" hidden="1" customHeight="1">
      <c r="A60" s="1221" t="s">
        <v>284</v>
      </c>
      <c r="B60" s="1221" t="s">
        <v>285</v>
      </c>
      <c r="C60" s="1193"/>
      <c r="D60" s="1193"/>
      <c r="E60" s="16125"/>
      <c r="F60" s="16124"/>
      <c r="G60" s="1193"/>
      <c r="H60" s="1193"/>
      <c r="I60" s="1193"/>
      <c r="J60" s="1193"/>
      <c r="K60" s="1193"/>
      <c r="L60" s="1365"/>
      <c r="M60" s="1200"/>
      <c r="N60" s="1200"/>
      <c r="P60" s="1195"/>
      <c r="Q60" s="1196"/>
      <c r="R60" s="1195"/>
      <c r="S60" s="1201"/>
      <c r="T60" s="1204" t="s">
        <v>290</v>
      </c>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2192"/>
      <c r="AS60" s="2192"/>
      <c r="AT60" s="2192"/>
      <c r="AU60" s="2192"/>
      <c r="AV60" s="2192"/>
      <c r="AW60" s="2192"/>
      <c r="AX60" s="2192"/>
      <c r="AY60" s="2192"/>
      <c r="AZ60" s="2192"/>
      <c r="BA60" s="2192"/>
      <c r="BB60" s="2192"/>
      <c r="BC60" s="2192"/>
      <c r="BD60" s="2192"/>
      <c r="BE60" s="2192"/>
      <c r="BF60" s="2192"/>
      <c r="BG60" s="2192"/>
      <c r="BH60" s="2192"/>
      <c r="BI60" s="2192"/>
      <c r="BJ60" s="2192"/>
      <c r="BK60" s="2192"/>
      <c r="BL60" s="2192"/>
      <c r="BM60" s="2192"/>
      <c r="BN60" s="2192"/>
      <c r="BO60" s="2192"/>
      <c r="BP60" s="2192"/>
      <c r="BQ60" s="2192"/>
      <c r="BR60" s="2192"/>
      <c r="BS60" s="2192"/>
      <c r="BT60" s="2192"/>
      <c r="BU60" s="2192"/>
      <c r="BV60" s="2192"/>
      <c r="BW60" s="2192"/>
      <c r="BX60" s="2192"/>
      <c r="BY60" s="2192"/>
      <c r="BZ60" s="2192"/>
      <c r="CA60" s="2192"/>
      <c r="CB60" s="2192"/>
      <c r="CC60" s="2192"/>
      <c r="CD60" s="2192"/>
      <c r="CE60" s="2192"/>
      <c r="CF60" s="2192"/>
      <c r="CG60" s="2192"/>
      <c r="CH60" s="2192"/>
      <c r="CI60" s="2192"/>
      <c r="CJ60" s="2192"/>
      <c r="CK60" s="2192"/>
      <c r="CL60" s="2192"/>
      <c r="CM60" s="2192"/>
      <c r="CN60" s="2192"/>
      <c r="CO60" s="2192"/>
      <c r="CP60" s="2192"/>
      <c r="CQ60" s="2192"/>
      <c r="CR60" s="2192"/>
      <c r="CS60" s="2192"/>
      <c r="CT60" s="2192"/>
      <c r="CU60" s="2192"/>
      <c r="CV60" s="2192"/>
      <c r="CW60" s="2192"/>
      <c r="CX60" s="2192"/>
      <c r="CY60" s="2192"/>
      <c r="CZ60" s="2192"/>
      <c r="DA60" s="2192"/>
      <c r="DB60" s="2192"/>
      <c r="DC60" s="2192"/>
      <c r="DD60" s="2192"/>
      <c r="DE60" s="2192"/>
      <c r="DF60" s="2192"/>
      <c r="DG60" s="2192"/>
      <c r="DH60" s="2192"/>
      <c r="DI60" s="2192"/>
      <c r="DJ60" s="2192"/>
      <c r="DK60" s="2192"/>
      <c r="DL60" s="2192"/>
      <c r="DM60" s="2192"/>
      <c r="DN60" s="2192"/>
      <c r="DO60" s="2192"/>
      <c r="DP60" s="2192"/>
      <c r="DQ60" s="2192"/>
      <c r="DR60" s="2192"/>
      <c r="DS60" s="2192"/>
      <c r="DT60" s="2192"/>
      <c r="DU60" s="2192"/>
      <c r="DV60" s="2192"/>
      <c r="DW60" s="2192"/>
      <c r="DX60" s="2192"/>
      <c r="DY60" s="2192"/>
      <c r="DZ60" s="2192"/>
      <c r="EA60" s="2192"/>
      <c r="EB60" s="2192"/>
      <c r="EC60" s="2192"/>
      <c r="ED60" s="2192"/>
      <c r="EE60" s="2192"/>
      <c r="EF60" s="2192"/>
      <c r="EG60" s="2192"/>
      <c r="EH60" s="2192"/>
      <c r="EI60" s="2192"/>
      <c r="EJ60" s="2192"/>
      <c r="EK60" s="2192"/>
      <c r="EL60" s="2192"/>
      <c r="EM60" s="14483"/>
      <c r="EN60" s="14483"/>
      <c r="EO60" s="14483"/>
      <c r="EP60" s="14483"/>
      <c r="EQ60" s="14483"/>
      <c r="ER60" s="14483"/>
      <c r="ES60" s="14483"/>
      <c r="ET60" s="14483"/>
      <c r="EU60" s="14483"/>
      <c r="EV60" s="14483"/>
      <c r="EW60" s="14483"/>
      <c r="EX60" s="1203"/>
      <c r="EY60" s="1203"/>
      <c r="FA60" s="687"/>
      <c r="FB60" s="687" t="str">
        <f t="shared" si="1"/>
        <v>Добавить централизованную систему для дифференциации</v>
      </c>
      <c r="FC60" s="687"/>
      <c r="FD60" s="687"/>
    </row>
    <row r="61" spans="1:160" s="14569" customFormat="1" ht="23.25" customHeight="1">
      <c r="A61" s="2502"/>
      <c r="B61" s="2502" t="s">
        <v>291</v>
      </c>
      <c r="C61" s="2502"/>
      <c r="D61" s="2502"/>
      <c r="E61" s="16125"/>
      <c r="F61" s="16124" t="s">
        <v>102</v>
      </c>
      <c r="G61" s="2502"/>
      <c r="H61" s="2502"/>
      <c r="I61" s="2502"/>
      <c r="J61" s="2502"/>
      <c r="K61" s="2502"/>
      <c r="L61" s="2503"/>
      <c r="M61" s="2504"/>
      <c r="N61" s="2504"/>
      <c r="O61" s="2504"/>
      <c r="P61" s="2904"/>
      <c r="Q61" s="2506"/>
      <c r="R61" s="2507"/>
      <c r="S61" s="2508" t="str">
        <f>INDEX(PT_DIFFERENTIATION_NUM_TER,MATCH(B61,PT_DIFFERENTIATION_TER_ID,0))</f>
        <v>1.2</v>
      </c>
      <c r="T61" s="2905" t="s">
        <v>534</v>
      </c>
      <c r="U61" s="2510"/>
      <c r="V61" s="16110"/>
      <c r="W61" s="16111"/>
      <c r="X61" s="16111"/>
      <c r="Y61" s="16111"/>
      <c r="Z61" s="16111"/>
      <c r="AA61" s="16111"/>
      <c r="AB61" s="16111"/>
      <c r="AC61" s="16111"/>
      <c r="AD61" s="16111"/>
      <c r="AE61" s="16111"/>
      <c r="AF61" s="16112"/>
      <c r="AG61" s="16110" t="str">
        <f>INDEX(PT_DIFFERENTIATION_TER,MATCH(B61,PT_DIFFERENTIATION_TER_ID,0))</f>
        <v>Территория 2</v>
      </c>
      <c r="AH61" s="16111"/>
      <c r="AI61" s="16111"/>
      <c r="AJ61" s="16111"/>
      <c r="AK61" s="16111"/>
      <c r="AL61" s="16111"/>
      <c r="AM61" s="16111"/>
      <c r="AN61" s="16111"/>
      <c r="AO61" s="16111"/>
      <c r="AP61" s="16111"/>
      <c r="AQ61" s="16111"/>
      <c r="AR61" s="16110"/>
      <c r="AS61" s="16111"/>
      <c r="AT61" s="16111"/>
      <c r="AU61" s="16111"/>
      <c r="AV61" s="16111"/>
      <c r="AW61" s="16111"/>
      <c r="AX61" s="16111"/>
      <c r="AY61" s="16111"/>
      <c r="AZ61" s="16111"/>
      <c r="BA61" s="16111"/>
      <c r="BB61" s="16112"/>
      <c r="BC61" s="16110"/>
      <c r="BD61" s="16111"/>
      <c r="BE61" s="16111"/>
      <c r="BF61" s="16111"/>
      <c r="BG61" s="16111"/>
      <c r="BH61" s="16111"/>
      <c r="BI61" s="16111"/>
      <c r="BJ61" s="16111"/>
      <c r="BK61" s="16111"/>
      <c r="BL61" s="16111"/>
      <c r="BM61" s="16112"/>
      <c r="BN61" s="16110"/>
      <c r="BO61" s="16111"/>
      <c r="BP61" s="16111"/>
      <c r="BQ61" s="16111"/>
      <c r="BR61" s="16111"/>
      <c r="BS61" s="16111"/>
      <c r="BT61" s="16111"/>
      <c r="BU61" s="16111"/>
      <c r="BV61" s="16111"/>
      <c r="BW61" s="16111"/>
      <c r="BX61" s="16112"/>
      <c r="BY61" s="16110"/>
      <c r="BZ61" s="16111"/>
      <c r="CA61" s="16111"/>
      <c r="CB61" s="16111"/>
      <c r="CC61" s="16111"/>
      <c r="CD61" s="16111"/>
      <c r="CE61" s="16111"/>
      <c r="CF61" s="16111"/>
      <c r="CG61" s="16111"/>
      <c r="CH61" s="16111"/>
      <c r="CI61" s="16112"/>
      <c r="CJ61" s="16110"/>
      <c r="CK61" s="16111"/>
      <c r="CL61" s="16111"/>
      <c r="CM61" s="16111"/>
      <c r="CN61" s="16111"/>
      <c r="CO61" s="16111"/>
      <c r="CP61" s="16111"/>
      <c r="CQ61" s="16111"/>
      <c r="CR61" s="16111"/>
      <c r="CS61" s="16111"/>
      <c r="CT61" s="16112"/>
      <c r="CU61" s="16110"/>
      <c r="CV61" s="16111"/>
      <c r="CW61" s="16111"/>
      <c r="CX61" s="16111"/>
      <c r="CY61" s="16111"/>
      <c r="CZ61" s="16111"/>
      <c r="DA61" s="16111"/>
      <c r="DB61" s="16111"/>
      <c r="DC61" s="16111"/>
      <c r="DD61" s="16111"/>
      <c r="DE61" s="16112"/>
      <c r="DF61" s="16110"/>
      <c r="DG61" s="16111"/>
      <c r="DH61" s="16111"/>
      <c r="DI61" s="16111"/>
      <c r="DJ61" s="16111"/>
      <c r="DK61" s="16111"/>
      <c r="DL61" s="16111"/>
      <c r="DM61" s="16111"/>
      <c r="DN61" s="16111"/>
      <c r="DO61" s="16111"/>
      <c r="DP61" s="16112"/>
      <c r="DQ61" s="16110"/>
      <c r="DR61" s="16111"/>
      <c r="DS61" s="16111"/>
      <c r="DT61" s="16111"/>
      <c r="DU61" s="16111"/>
      <c r="DV61" s="16111"/>
      <c r="DW61" s="16111"/>
      <c r="DX61" s="16111"/>
      <c r="DY61" s="16111"/>
      <c r="DZ61" s="16111"/>
      <c r="EA61" s="16112"/>
      <c r="EB61" s="16110"/>
      <c r="EC61" s="16111"/>
      <c r="ED61" s="16111"/>
      <c r="EE61" s="16111"/>
      <c r="EF61" s="16111"/>
      <c r="EG61" s="16111"/>
      <c r="EH61" s="16111"/>
      <c r="EI61" s="16111"/>
      <c r="EJ61" s="16111"/>
      <c r="EK61" s="16111"/>
      <c r="EL61" s="16112"/>
      <c r="EM61" s="16110"/>
      <c r="EN61" s="16111"/>
      <c r="EO61" s="16111"/>
      <c r="EP61" s="16111"/>
      <c r="EQ61" s="16111"/>
      <c r="ER61" s="16111"/>
      <c r="ES61" s="16111"/>
      <c r="ET61" s="16111"/>
      <c r="EU61" s="16111"/>
      <c r="EV61" s="16111"/>
      <c r="EW61" s="16112"/>
      <c r="EX61" s="16112"/>
      <c r="EY61" s="2511" t="s">
        <v>535</v>
      </c>
      <c r="EZ61" s="2199"/>
      <c r="FA61" s="2512"/>
      <c r="FB61" s="2512" t="str">
        <f t="shared" si="1"/>
        <v>Территория действия тарифа</v>
      </c>
      <c r="FC61" s="2512"/>
      <c r="FD61" s="2512"/>
    </row>
    <row r="62" spans="1:160" s="14570" customFormat="1" ht="23.25" customHeight="1">
      <c r="A62" s="2502"/>
      <c r="B62" s="2502"/>
      <c r="C62" s="2502" t="s">
        <v>292</v>
      </c>
      <c r="D62" s="2502"/>
      <c r="E62" s="16125"/>
      <c r="F62" s="16125">
        <v>1</v>
      </c>
      <c r="G62" s="16124">
        <v>1</v>
      </c>
      <c r="H62" s="2502"/>
      <c r="I62" s="2502"/>
      <c r="J62" s="2502"/>
      <c r="K62" s="2502"/>
      <c r="L62" s="2503"/>
      <c r="M62" s="2504"/>
      <c r="N62" s="2504"/>
      <c r="O62" s="2504"/>
      <c r="P62" s="2505"/>
      <c r="Q62" s="2506"/>
      <c r="R62" s="2507"/>
      <c r="S62" s="2508" t="str">
        <f>INDEX(PT_DIFFERENTIATION_NUM_CS,MATCH(C62,PT_DIFFERENTIATION_CS_ID,0))</f>
        <v>1.2.1</v>
      </c>
      <c r="T62" s="2509" t="s">
        <v>665</v>
      </c>
      <c r="U62" s="2510"/>
      <c r="V62" s="16110"/>
      <c r="W62" s="16111"/>
      <c r="X62" s="16111"/>
      <c r="Y62" s="16111"/>
      <c r="Z62" s="16111"/>
      <c r="AA62" s="16111"/>
      <c r="AB62" s="16111"/>
      <c r="AC62" s="16111"/>
      <c r="AD62" s="16111"/>
      <c r="AE62" s="16111"/>
      <c r="AF62" s="16112"/>
      <c r="AG62" s="16110" t="str">
        <f>INDEX(PT_DIFFERENTIATION_CS,MATCH(C62,PT_DIFFERENTIATION_CS_ID,0))</f>
        <v>без дифференциации</v>
      </c>
      <c r="AH62" s="16111"/>
      <c r="AI62" s="16111"/>
      <c r="AJ62" s="16111"/>
      <c r="AK62" s="16111"/>
      <c r="AL62" s="16111"/>
      <c r="AM62" s="16111"/>
      <c r="AN62" s="16111"/>
      <c r="AO62" s="16111"/>
      <c r="AP62" s="16111"/>
      <c r="AQ62" s="16111"/>
      <c r="AR62" s="16110"/>
      <c r="AS62" s="16111"/>
      <c r="AT62" s="16111"/>
      <c r="AU62" s="16111"/>
      <c r="AV62" s="16111"/>
      <c r="AW62" s="16111"/>
      <c r="AX62" s="16111"/>
      <c r="AY62" s="16111"/>
      <c r="AZ62" s="16111"/>
      <c r="BA62" s="16111"/>
      <c r="BB62" s="16112"/>
      <c r="BC62" s="16110"/>
      <c r="BD62" s="16111"/>
      <c r="BE62" s="16111"/>
      <c r="BF62" s="16111"/>
      <c r="BG62" s="16111"/>
      <c r="BH62" s="16111"/>
      <c r="BI62" s="16111"/>
      <c r="BJ62" s="16111"/>
      <c r="BK62" s="16111"/>
      <c r="BL62" s="16111"/>
      <c r="BM62" s="16112"/>
      <c r="BN62" s="16110"/>
      <c r="BO62" s="16111"/>
      <c r="BP62" s="16111"/>
      <c r="BQ62" s="16111"/>
      <c r="BR62" s="16111"/>
      <c r="BS62" s="16111"/>
      <c r="BT62" s="16111"/>
      <c r="BU62" s="16111"/>
      <c r="BV62" s="16111"/>
      <c r="BW62" s="16111"/>
      <c r="BX62" s="16112"/>
      <c r="BY62" s="16110"/>
      <c r="BZ62" s="16111"/>
      <c r="CA62" s="16111"/>
      <c r="CB62" s="16111"/>
      <c r="CC62" s="16111"/>
      <c r="CD62" s="16111"/>
      <c r="CE62" s="16111"/>
      <c r="CF62" s="16111"/>
      <c r="CG62" s="16111"/>
      <c r="CH62" s="16111"/>
      <c r="CI62" s="16112"/>
      <c r="CJ62" s="16110"/>
      <c r="CK62" s="16111"/>
      <c r="CL62" s="16111"/>
      <c r="CM62" s="16111"/>
      <c r="CN62" s="16111"/>
      <c r="CO62" s="16111"/>
      <c r="CP62" s="16111"/>
      <c r="CQ62" s="16111"/>
      <c r="CR62" s="16111"/>
      <c r="CS62" s="16111"/>
      <c r="CT62" s="16112"/>
      <c r="CU62" s="16110"/>
      <c r="CV62" s="16111"/>
      <c r="CW62" s="16111"/>
      <c r="CX62" s="16111"/>
      <c r="CY62" s="16111"/>
      <c r="CZ62" s="16111"/>
      <c r="DA62" s="16111"/>
      <c r="DB62" s="16111"/>
      <c r="DC62" s="16111"/>
      <c r="DD62" s="16111"/>
      <c r="DE62" s="16112"/>
      <c r="DF62" s="16110"/>
      <c r="DG62" s="16111"/>
      <c r="DH62" s="16111"/>
      <c r="DI62" s="16111"/>
      <c r="DJ62" s="16111"/>
      <c r="DK62" s="16111"/>
      <c r="DL62" s="16111"/>
      <c r="DM62" s="16111"/>
      <c r="DN62" s="16111"/>
      <c r="DO62" s="16111"/>
      <c r="DP62" s="16112"/>
      <c r="DQ62" s="16110"/>
      <c r="DR62" s="16111"/>
      <c r="DS62" s="16111"/>
      <c r="DT62" s="16111"/>
      <c r="DU62" s="16111"/>
      <c r="DV62" s="16111"/>
      <c r="DW62" s="16111"/>
      <c r="DX62" s="16111"/>
      <c r="DY62" s="16111"/>
      <c r="DZ62" s="16111"/>
      <c r="EA62" s="16112"/>
      <c r="EB62" s="16110"/>
      <c r="EC62" s="16111"/>
      <c r="ED62" s="16111"/>
      <c r="EE62" s="16111"/>
      <c r="EF62" s="16111"/>
      <c r="EG62" s="16111"/>
      <c r="EH62" s="16111"/>
      <c r="EI62" s="16111"/>
      <c r="EJ62" s="16111"/>
      <c r="EK62" s="16111"/>
      <c r="EL62" s="16112"/>
      <c r="EM62" s="16110"/>
      <c r="EN62" s="16111"/>
      <c r="EO62" s="16111"/>
      <c r="EP62" s="16111"/>
      <c r="EQ62" s="16111"/>
      <c r="ER62" s="16111"/>
      <c r="ES62" s="16111"/>
      <c r="ET62" s="16111"/>
      <c r="EU62" s="16111"/>
      <c r="EV62" s="16111"/>
      <c r="EW62" s="16112"/>
      <c r="EX62" s="16112"/>
      <c r="EY62" s="2511" t="s">
        <v>666</v>
      </c>
      <c r="EZ62" s="2199"/>
      <c r="FA62" s="2512"/>
      <c r="FB62" s="2512" t="str">
        <f t="shared" si="1"/>
        <v>Наименование централизованной системы горячего водоснабжения</v>
      </c>
      <c r="FC62" s="2512"/>
      <c r="FD62" s="2512"/>
    </row>
    <row r="63" spans="1:160" s="14571" customFormat="1" ht="23.25" customHeight="1">
      <c r="A63" s="2502"/>
      <c r="B63" s="2502"/>
      <c r="C63" s="2502"/>
      <c r="D63" s="2502"/>
      <c r="E63" s="16125"/>
      <c r="F63" s="16125">
        <v>1</v>
      </c>
      <c r="G63" s="16125"/>
      <c r="H63" s="16125"/>
      <c r="I63" s="16122" t="str">
        <f>S62&amp;".1"</f>
        <v>1.2.1.1</v>
      </c>
      <c r="J63" s="2502"/>
      <c r="K63" s="2502"/>
      <c r="L63" s="2503"/>
      <c r="M63" s="2513"/>
      <c r="N63" s="2513"/>
      <c r="O63" s="2513"/>
      <c r="P63" s="16123">
        <v>1</v>
      </c>
      <c r="Q63" s="2514"/>
      <c r="R63" s="2515"/>
      <c r="S63" s="2508" t="str">
        <f>$I63</f>
        <v>1.2.1.1</v>
      </c>
      <c r="T63" s="2516" t="s">
        <v>618</v>
      </c>
      <c r="U63" s="2510"/>
      <c r="V63" s="16183"/>
      <c r="W63" s="16184"/>
      <c r="X63" s="16184"/>
      <c r="Y63" s="16184"/>
      <c r="Z63" s="16184"/>
      <c r="AA63" s="16184"/>
      <c r="AB63" s="16184"/>
      <c r="AC63" s="16184"/>
      <c r="AD63" s="16184"/>
      <c r="AE63" s="16184"/>
      <c r="AF63" s="16185"/>
      <c r="AG63" s="16186"/>
      <c r="AH63" s="16187"/>
      <c r="AI63" s="16187"/>
      <c r="AJ63" s="16187"/>
      <c r="AK63" s="16187"/>
      <c r="AL63" s="16187"/>
      <c r="AM63" s="16187"/>
      <c r="AN63" s="16187"/>
      <c r="AO63" s="16187"/>
      <c r="AP63" s="16187"/>
      <c r="AQ63" s="16187"/>
      <c r="AR63" s="16183"/>
      <c r="AS63" s="16184"/>
      <c r="AT63" s="16184"/>
      <c r="AU63" s="16184"/>
      <c r="AV63" s="16184"/>
      <c r="AW63" s="16184"/>
      <c r="AX63" s="16184"/>
      <c r="AY63" s="16184"/>
      <c r="AZ63" s="16184"/>
      <c r="BA63" s="16184"/>
      <c r="BB63" s="16185"/>
      <c r="BC63" s="16183"/>
      <c r="BD63" s="16184"/>
      <c r="BE63" s="16184"/>
      <c r="BF63" s="16184"/>
      <c r="BG63" s="16184"/>
      <c r="BH63" s="16184"/>
      <c r="BI63" s="16184"/>
      <c r="BJ63" s="16184"/>
      <c r="BK63" s="16184"/>
      <c r="BL63" s="16184"/>
      <c r="BM63" s="16185"/>
      <c r="BN63" s="16183"/>
      <c r="BO63" s="16184"/>
      <c r="BP63" s="16184"/>
      <c r="BQ63" s="16184"/>
      <c r="BR63" s="16184"/>
      <c r="BS63" s="16184"/>
      <c r="BT63" s="16184"/>
      <c r="BU63" s="16184"/>
      <c r="BV63" s="16184"/>
      <c r="BW63" s="16184"/>
      <c r="BX63" s="16185"/>
      <c r="BY63" s="16183"/>
      <c r="BZ63" s="16184"/>
      <c r="CA63" s="16184"/>
      <c r="CB63" s="16184"/>
      <c r="CC63" s="16184"/>
      <c r="CD63" s="16184"/>
      <c r="CE63" s="16184"/>
      <c r="CF63" s="16184"/>
      <c r="CG63" s="16184"/>
      <c r="CH63" s="16184"/>
      <c r="CI63" s="16185"/>
      <c r="CJ63" s="16183"/>
      <c r="CK63" s="16184"/>
      <c r="CL63" s="16184"/>
      <c r="CM63" s="16184"/>
      <c r="CN63" s="16184"/>
      <c r="CO63" s="16184"/>
      <c r="CP63" s="16184"/>
      <c r="CQ63" s="16184"/>
      <c r="CR63" s="16184"/>
      <c r="CS63" s="16184"/>
      <c r="CT63" s="16185"/>
      <c r="CU63" s="16183"/>
      <c r="CV63" s="16184"/>
      <c r="CW63" s="16184"/>
      <c r="CX63" s="16184"/>
      <c r="CY63" s="16184"/>
      <c r="CZ63" s="16184"/>
      <c r="DA63" s="16184"/>
      <c r="DB63" s="16184"/>
      <c r="DC63" s="16184"/>
      <c r="DD63" s="16184"/>
      <c r="DE63" s="16185"/>
      <c r="DF63" s="16183"/>
      <c r="DG63" s="16184"/>
      <c r="DH63" s="16184"/>
      <c r="DI63" s="16184"/>
      <c r="DJ63" s="16184"/>
      <c r="DK63" s="16184"/>
      <c r="DL63" s="16184"/>
      <c r="DM63" s="16184"/>
      <c r="DN63" s="16184"/>
      <c r="DO63" s="16184"/>
      <c r="DP63" s="16185"/>
      <c r="DQ63" s="16183"/>
      <c r="DR63" s="16184"/>
      <c r="DS63" s="16184"/>
      <c r="DT63" s="16184"/>
      <c r="DU63" s="16184"/>
      <c r="DV63" s="16184"/>
      <c r="DW63" s="16184"/>
      <c r="DX63" s="16184"/>
      <c r="DY63" s="16184"/>
      <c r="DZ63" s="16184"/>
      <c r="EA63" s="16185"/>
      <c r="EB63" s="16183"/>
      <c r="EC63" s="16184"/>
      <c r="ED63" s="16184"/>
      <c r="EE63" s="16184"/>
      <c r="EF63" s="16184"/>
      <c r="EG63" s="16184"/>
      <c r="EH63" s="16184"/>
      <c r="EI63" s="16184"/>
      <c r="EJ63" s="16184"/>
      <c r="EK63" s="16184"/>
      <c r="EL63" s="16185"/>
      <c r="EM63" s="16183"/>
      <c r="EN63" s="16184"/>
      <c r="EO63" s="16184"/>
      <c r="EP63" s="16184"/>
      <c r="EQ63" s="16184"/>
      <c r="ER63" s="16184"/>
      <c r="ES63" s="16184"/>
      <c r="ET63" s="16184"/>
      <c r="EU63" s="16184"/>
      <c r="EV63" s="16184"/>
      <c r="EW63" s="16185"/>
      <c r="EX63" s="16188"/>
      <c r="EY63" s="2511" t="s">
        <v>619</v>
      </c>
      <c r="EZ63" s="2199"/>
      <c r="FA63" s="2512"/>
      <c r="FB63" s="2512" t="str">
        <f t="shared" si="1"/>
        <v>Наименование признака дифференциации</v>
      </c>
      <c r="FC63" s="2512"/>
      <c r="FD63" s="2512"/>
    </row>
    <row r="64" spans="1:160" s="14572" customFormat="1" ht="23.25" customHeight="1">
      <c r="A64" s="2502"/>
      <c r="B64" s="2502"/>
      <c r="C64" s="2502"/>
      <c r="D64" s="2502"/>
      <c r="E64" s="16125"/>
      <c r="F64" s="16125">
        <v>1</v>
      </c>
      <c r="G64" s="16125"/>
      <c r="H64" s="16125"/>
      <c r="I64" s="16145"/>
      <c r="J64" s="16122" t="str">
        <f>I63&amp;".1"</f>
        <v>1.2.1.1.1</v>
      </c>
      <c r="K64" s="2502"/>
      <c r="L64" s="2503" t="s">
        <v>543</v>
      </c>
      <c r="M64" s="2513"/>
      <c r="N64" s="2513"/>
      <c r="O64" s="2513"/>
      <c r="P64" s="16123"/>
      <c r="Q64" s="16123">
        <v>1</v>
      </c>
      <c r="R64" s="2517"/>
      <c r="S64" s="2508" t="str">
        <f>$J64</f>
        <v>1.2.1.1.1</v>
      </c>
      <c r="T64" s="2518" t="s">
        <v>544</v>
      </c>
      <c r="U64" s="2510"/>
      <c r="V64" s="16113"/>
      <c r="W64" s="16114"/>
      <c r="X64" s="16114"/>
      <c r="Y64" s="16114"/>
      <c r="Z64" s="16114"/>
      <c r="AA64" s="16114"/>
      <c r="AB64" s="16114"/>
      <c r="AC64" s="16114"/>
      <c r="AD64" s="16114"/>
      <c r="AE64" s="16114"/>
      <c r="AF64" s="16115"/>
      <c r="AG64" s="16113" t="s">
        <v>678</v>
      </c>
      <c r="AH64" s="16114"/>
      <c r="AI64" s="16114"/>
      <c r="AJ64" s="16114"/>
      <c r="AK64" s="16114"/>
      <c r="AL64" s="16114"/>
      <c r="AM64" s="16114"/>
      <c r="AN64" s="16114"/>
      <c r="AO64" s="16114"/>
      <c r="AP64" s="16114"/>
      <c r="AQ64" s="16114"/>
      <c r="AR64" s="16113"/>
      <c r="AS64" s="16114"/>
      <c r="AT64" s="16114"/>
      <c r="AU64" s="16114"/>
      <c r="AV64" s="16114"/>
      <c r="AW64" s="16114"/>
      <c r="AX64" s="16114"/>
      <c r="AY64" s="16114"/>
      <c r="AZ64" s="16114"/>
      <c r="BA64" s="16114"/>
      <c r="BB64" s="16115"/>
      <c r="BC64" s="16113"/>
      <c r="BD64" s="16114"/>
      <c r="BE64" s="16114"/>
      <c r="BF64" s="16114"/>
      <c r="BG64" s="16114"/>
      <c r="BH64" s="16114"/>
      <c r="BI64" s="16114"/>
      <c r="BJ64" s="16114"/>
      <c r="BK64" s="16114"/>
      <c r="BL64" s="16114"/>
      <c r="BM64" s="16115"/>
      <c r="BN64" s="16113"/>
      <c r="BO64" s="16114"/>
      <c r="BP64" s="16114"/>
      <c r="BQ64" s="16114"/>
      <c r="BR64" s="16114"/>
      <c r="BS64" s="16114"/>
      <c r="BT64" s="16114"/>
      <c r="BU64" s="16114"/>
      <c r="BV64" s="16114"/>
      <c r="BW64" s="16114"/>
      <c r="BX64" s="16115"/>
      <c r="BY64" s="16113"/>
      <c r="BZ64" s="16114"/>
      <c r="CA64" s="16114"/>
      <c r="CB64" s="16114"/>
      <c r="CC64" s="16114"/>
      <c r="CD64" s="16114"/>
      <c r="CE64" s="16114"/>
      <c r="CF64" s="16114"/>
      <c r="CG64" s="16114"/>
      <c r="CH64" s="16114"/>
      <c r="CI64" s="16115"/>
      <c r="CJ64" s="16113"/>
      <c r="CK64" s="16114"/>
      <c r="CL64" s="16114"/>
      <c r="CM64" s="16114"/>
      <c r="CN64" s="16114"/>
      <c r="CO64" s="16114"/>
      <c r="CP64" s="16114"/>
      <c r="CQ64" s="16114"/>
      <c r="CR64" s="16114"/>
      <c r="CS64" s="16114"/>
      <c r="CT64" s="16115"/>
      <c r="CU64" s="16113"/>
      <c r="CV64" s="16114"/>
      <c r="CW64" s="16114"/>
      <c r="CX64" s="16114"/>
      <c r="CY64" s="16114"/>
      <c r="CZ64" s="16114"/>
      <c r="DA64" s="16114"/>
      <c r="DB64" s="16114"/>
      <c r="DC64" s="16114"/>
      <c r="DD64" s="16114"/>
      <c r="DE64" s="16115"/>
      <c r="DF64" s="16113"/>
      <c r="DG64" s="16114"/>
      <c r="DH64" s="16114"/>
      <c r="DI64" s="16114"/>
      <c r="DJ64" s="16114"/>
      <c r="DK64" s="16114"/>
      <c r="DL64" s="16114"/>
      <c r="DM64" s="16114"/>
      <c r="DN64" s="16114"/>
      <c r="DO64" s="16114"/>
      <c r="DP64" s="16115"/>
      <c r="DQ64" s="16113"/>
      <c r="DR64" s="16114"/>
      <c r="DS64" s="16114"/>
      <c r="DT64" s="16114"/>
      <c r="DU64" s="16114"/>
      <c r="DV64" s="16114"/>
      <c r="DW64" s="16114"/>
      <c r="DX64" s="16114"/>
      <c r="DY64" s="16114"/>
      <c r="DZ64" s="16114"/>
      <c r="EA64" s="16115"/>
      <c r="EB64" s="16113"/>
      <c r="EC64" s="16114"/>
      <c r="ED64" s="16114"/>
      <c r="EE64" s="16114"/>
      <c r="EF64" s="16114"/>
      <c r="EG64" s="16114"/>
      <c r="EH64" s="16114"/>
      <c r="EI64" s="16114"/>
      <c r="EJ64" s="16114"/>
      <c r="EK64" s="16114"/>
      <c r="EL64" s="16115"/>
      <c r="EM64" s="16113"/>
      <c r="EN64" s="16114"/>
      <c r="EO64" s="16114"/>
      <c r="EP64" s="16114"/>
      <c r="EQ64" s="16114"/>
      <c r="ER64" s="16114"/>
      <c r="ES64" s="16114"/>
      <c r="ET64" s="16114"/>
      <c r="EU64" s="16114"/>
      <c r="EV64" s="16114"/>
      <c r="EW64" s="16115"/>
      <c r="EX64" s="16115"/>
      <c r="EY64" s="2519" t="s">
        <v>620</v>
      </c>
      <c r="EZ64" s="2199"/>
      <c r="FA64" s="2512"/>
      <c r="FB64" s="2512" t="str">
        <f t="shared" si="1"/>
        <v>Группа потребителей</v>
      </c>
      <c r="FC64" s="2512"/>
      <c r="FD64" s="2512"/>
    </row>
    <row r="65" spans="1:160" s="14573" customFormat="1" ht="23.25" customHeight="1">
      <c r="A65" s="2502"/>
      <c r="B65" s="2502"/>
      <c r="C65" s="2502"/>
      <c r="D65" s="2502"/>
      <c r="E65" s="16125"/>
      <c r="F65" s="16125">
        <v>1</v>
      </c>
      <c r="G65" s="16125"/>
      <c r="H65" s="16125"/>
      <c r="I65" s="16145"/>
      <c r="J65" s="16145"/>
      <c r="K65" s="16122" t="str">
        <f>J64&amp;".1"</f>
        <v>1.2.1.1.1.1</v>
      </c>
      <c r="L65" s="2503"/>
      <c r="M65" s="2513"/>
      <c r="N65" s="2513"/>
      <c r="O65" s="2513"/>
      <c r="P65" s="16123"/>
      <c r="Q65" s="16123"/>
      <c r="R65" s="2517">
        <v>1</v>
      </c>
      <c r="S65" s="2508" t="str">
        <f>$K65</f>
        <v>1.2.1.1.1.1</v>
      </c>
      <c r="T65" s="2520"/>
      <c r="U65" s="2510"/>
      <c r="V65" s="1893"/>
      <c r="W65" s="1893"/>
      <c r="X65" s="1893"/>
      <c r="Y65" s="1893"/>
      <c r="Z65" s="1893"/>
      <c r="AA65" s="1893"/>
      <c r="AB65" s="1893"/>
      <c r="AC65" s="16127"/>
      <c r="AD65" s="15973" t="s">
        <v>66</v>
      </c>
      <c r="AE65" s="16127"/>
      <c r="AF65" s="15973" t="s">
        <v>66</v>
      </c>
      <c r="AG65" s="1893">
        <v>41.45</v>
      </c>
      <c r="AH65" s="1893"/>
      <c r="AI65" s="1893"/>
      <c r="AJ65" s="1893"/>
      <c r="AK65" s="1893">
        <v>3854.1</v>
      </c>
      <c r="AL65" s="1893"/>
      <c r="AM65" s="1893"/>
      <c r="AN65" s="16127">
        <v>45292</v>
      </c>
      <c r="AO65" s="15973" t="s">
        <v>66</v>
      </c>
      <c r="AP65" s="16146">
        <v>45378</v>
      </c>
      <c r="AQ65" s="15973" t="s">
        <v>66</v>
      </c>
      <c r="AR65" s="1893">
        <v>41.45</v>
      </c>
      <c r="AS65" s="1893"/>
      <c r="AT65" s="1893"/>
      <c r="AU65" s="1893"/>
      <c r="AV65" s="1893">
        <v>3854.1</v>
      </c>
      <c r="AW65" s="1893"/>
      <c r="AX65" s="1893"/>
      <c r="AY65" s="16127">
        <v>45379</v>
      </c>
      <c r="AZ65" s="15973" t="s">
        <v>66</v>
      </c>
      <c r="BA65" s="16127">
        <v>45473</v>
      </c>
      <c r="BB65" s="15973" t="s">
        <v>66</v>
      </c>
      <c r="BC65" s="1893">
        <v>45.85</v>
      </c>
      <c r="BD65" s="1893"/>
      <c r="BE65" s="1893"/>
      <c r="BF65" s="1893"/>
      <c r="BG65" s="1893">
        <v>4000</v>
      </c>
      <c r="BH65" s="1893"/>
      <c r="BI65" s="1893"/>
      <c r="BJ65" s="16127">
        <v>45474</v>
      </c>
      <c r="BK65" s="15973" t="s">
        <v>66</v>
      </c>
      <c r="BL65" s="16127">
        <v>45657</v>
      </c>
      <c r="BM65" s="15973" t="s">
        <v>66</v>
      </c>
      <c r="BN65" s="1893">
        <v>43.39</v>
      </c>
      <c r="BO65" s="1893"/>
      <c r="BP65" s="1893"/>
      <c r="BQ65" s="1893"/>
      <c r="BR65" s="1893">
        <v>4000</v>
      </c>
      <c r="BS65" s="1893"/>
      <c r="BT65" s="1893"/>
      <c r="BU65" s="16127">
        <v>45658</v>
      </c>
      <c r="BV65" s="15973" t="s">
        <v>66</v>
      </c>
      <c r="BW65" s="16127">
        <v>45838</v>
      </c>
      <c r="BX65" s="15973" t="s">
        <v>66</v>
      </c>
      <c r="BY65" s="1893">
        <v>45.13</v>
      </c>
      <c r="BZ65" s="1893"/>
      <c r="CA65" s="1893"/>
      <c r="CB65" s="1893"/>
      <c r="CC65" s="1893">
        <v>4168</v>
      </c>
      <c r="CD65" s="1893"/>
      <c r="CE65" s="1893"/>
      <c r="CF65" s="16127">
        <v>45839</v>
      </c>
      <c r="CG65" s="15973" t="s">
        <v>66</v>
      </c>
      <c r="CH65" s="16127">
        <v>46022</v>
      </c>
      <c r="CI65" s="15973" t="s">
        <v>66</v>
      </c>
      <c r="CJ65" s="1893">
        <v>45.13</v>
      </c>
      <c r="CK65" s="1893"/>
      <c r="CL65" s="1893"/>
      <c r="CM65" s="1893"/>
      <c r="CN65" s="1893">
        <v>4168</v>
      </c>
      <c r="CO65" s="1893"/>
      <c r="CP65" s="1893"/>
      <c r="CQ65" s="16127">
        <v>46023</v>
      </c>
      <c r="CR65" s="15973" t="s">
        <v>66</v>
      </c>
      <c r="CS65" s="16127">
        <v>46203</v>
      </c>
      <c r="CT65" s="15973" t="s">
        <v>66</v>
      </c>
      <c r="CU65" s="1893">
        <v>46.93</v>
      </c>
      <c r="CV65" s="1893"/>
      <c r="CW65" s="1893"/>
      <c r="CX65" s="1893"/>
      <c r="CY65" s="1893">
        <v>4334.72</v>
      </c>
      <c r="CZ65" s="1893"/>
      <c r="DA65" s="1893"/>
      <c r="DB65" s="16127">
        <v>46204</v>
      </c>
      <c r="DC65" s="15973" t="s">
        <v>66</v>
      </c>
      <c r="DD65" s="16127">
        <v>46387</v>
      </c>
      <c r="DE65" s="15973" t="s">
        <v>66</v>
      </c>
      <c r="DF65" s="1893">
        <v>46.93</v>
      </c>
      <c r="DG65" s="1893"/>
      <c r="DH65" s="1893"/>
      <c r="DI65" s="1893"/>
      <c r="DJ65" s="1893">
        <v>4334.72</v>
      </c>
      <c r="DK65" s="1893"/>
      <c r="DL65" s="1893"/>
      <c r="DM65" s="16127">
        <v>46388</v>
      </c>
      <c r="DN65" s="15973" t="s">
        <v>66</v>
      </c>
      <c r="DO65" s="16127">
        <v>46568</v>
      </c>
      <c r="DP65" s="15973" t="s">
        <v>66</v>
      </c>
      <c r="DQ65" s="1893">
        <v>48.34</v>
      </c>
      <c r="DR65" s="1893"/>
      <c r="DS65" s="1893"/>
      <c r="DT65" s="1893"/>
      <c r="DU65" s="1893">
        <v>4508.1099999999997</v>
      </c>
      <c r="DV65" s="1893"/>
      <c r="DW65" s="1893"/>
      <c r="DX65" s="16127">
        <v>46569</v>
      </c>
      <c r="DY65" s="15973" t="s">
        <v>66</v>
      </c>
      <c r="DZ65" s="16127">
        <v>46752</v>
      </c>
      <c r="EA65" s="15973" t="s">
        <v>66</v>
      </c>
      <c r="EB65" s="1893">
        <v>48.34</v>
      </c>
      <c r="EC65" s="1893"/>
      <c r="ED65" s="1893"/>
      <c r="EE65" s="1893"/>
      <c r="EF65" s="1893">
        <v>4508.1099999999997</v>
      </c>
      <c r="EG65" s="1893"/>
      <c r="EH65" s="1893"/>
      <c r="EI65" s="16127">
        <v>46753</v>
      </c>
      <c r="EJ65" s="15973" t="s">
        <v>66</v>
      </c>
      <c r="EK65" s="16127">
        <v>46934</v>
      </c>
      <c r="EL65" s="15973" t="s">
        <v>66</v>
      </c>
      <c r="EM65" s="14448">
        <v>50.27</v>
      </c>
      <c r="EN65" s="14448"/>
      <c r="EO65" s="14448"/>
      <c r="EP65" s="14448"/>
      <c r="EQ65" s="14448">
        <v>4688.43</v>
      </c>
      <c r="ER65" s="14448"/>
      <c r="ES65" s="14448"/>
      <c r="ET65" s="16127">
        <v>46935</v>
      </c>
      <c r="EU65" s="15973" t="s">
        <v>66</v>
      </c>
      <c r="EV65" s="16127">
        <v>47118</v>
      </c>
      <c r="EW65" s="15973" t="s">
        <v>66</v>
      </c>
      <c r="EX65" s="2521"/>
      <c r="EY65"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65" s="2199" t="e">
        <f ca="1">STRCHECKDATE(V66:EX66)</f>
        <v>#NAME?</v>
      </c>
      <c r="FA65" s="2512"/>
      <c r="FB65" s="2512" t="str">
        <f t="shared" si="1"/>
        <v/>
      </c>
      <c r="FC65" s="2512"/>
      <c r="FD65" s="2512"/>
    </row>
    <row r="66" spans="1:160" s="14574" customFormat="1" ht="14.25" customHeight="1">
      <c r="A66" s="2502"/>
      <c r="B66" s="2502"/>
      <c r="C66" s="2502"/>
      <c r="D66" s="2502"/>
      <c r="E66" s="16125"/>
      <c r="F66" s="16125">
        <v>1</v>
      </c>
      <c r="G66" s="16125"/>
      <c r="H66" s="16125"/>
      <c r="I66" s="16145"/>
      <c r="J66" s="16145"/>
      <c r="K66" s="16122"/>
      <c r="L66" s="2503"/>
      <c r="M66" s="2513"/>
      <c r="N66" s="2513"/>
      <c r="O66" s="2513"/>
      <c r="P66" s="16123"/>
      <c r="Q66" s="16123"/>
      <c r="R66" s="2517"/>
      <c r="S66" s="2522"/>
      <c r="T66" s="2510"/>
      <c r="U66" s="2510"/>
      <c r="V66" s="1894"/>
      <c r="W66" s="1894"/>
      <c r="X66" s="1894"/>
      <c r="Y66" s="1894"/>
      <c r="Z66" s="1894"/>
      <c r="AA66" s="1894"/>
      <c r="AB66" s="1894"/>
      <c r="AC66" s="16128"/>
      <c r="AD66" s="15973"/>
      <c r="AE66" s="16128"/>
      <c r="AF66" s="15973"/>
      <c r="AG66" s="1894"/>
      <c r="AH66" s="1894"/>
      <c r="AI66" s="1894"/>
      <c r="AJ66" s="1894"/>
      <c r="AK66" s="1894"/>
      <c r="AL66" s="1894"/>
      <c r="AM66" s="1894"/>
      <c r="AN66" s="16128"/>
      <c r="AO66" s="15973"/>
      <c r="AP66" s="16147"/>
      <c r="AQ66" s="15973"/>
      <c r="AR66" s="1894"/>
      <c r="AS66" s="1894"/>
      <c r="AT66" s="1894"/>
      <c r="AU66" s="1894"/>
      <c r="AV66" s="1894"/>
      <c r="AW66" s="1894"/>
      <c r="AX66" s="1894"/>
      <c r="AY66" s="16128"/>
      <c r="AZ66" s="15973"/>
      <c r="BA66" s="16128"/>
      <c r="BB66" s="15973"/>
      <c r="BC66" s="1894"/>
      <c r="BD66" s="1894"/>
      <c r="BE66" s="1894"/>
      <c r="BF66" s="1894"/>
      <c r="BG66" s="1894"/>
      <c r="BH66" s="1894"/>
      <c r="BI66" s="1894"/>
      <c r="BJ66" s="16128"/>
      <c r="BK66" s="15973"/>
      <c r="BL66" s="16128"/>
      <c r="BM66" s="15973"/>
      <c r="BN66" s="1894"/>
      <c r="BO66" s="1894"/>
      <c r="BP66" s="1894"/>
      <c r="BQ66" s="1894"/>
      <c r="BR66" s="1894"/>
      <c r="BS66" s="1894"/>
      <c r="BT66" s="1894"/>
      <c r="BU66" s="16128"/>
      <c r="BV66" s="15973"/>
      <c r="BW66" s="16128"/>
      <c r="BX66" s="15973"/>
      <c r="BY66" s="1894"/>
      <c r="BZ66" s="1894"/>
      <c r="CA66" s="1894"/>
      <c r="CB66" s="1894"/>
      <c r="CC66" s="1894"/>
      <c r="CD66" s="1894"/>
      <c r="CE66" s="1894"/>
      <c r="CF66" s="16128"/>
      <c r="CG66" s="15973"/>
      <c r="CH66" s="16128"/>
      <c r="CI66" s="15973"/>
      <c r="CJ66" s="1894"/>
      <c r="CK66" s="1894"/>
      <c r="CL66" s="1894"/>
      <c r="CM66" s="1894"/>
      <c r="CN66" s="1894"/>
      <c r="CO66" s="1894"/>
      <c r="CP66" s="1894"/>
      <c r="CQ66" s="16128"/>
      <c r="CR66" s="15973"/>
      <c r="CS66" s="16128"/>
      <c r="CT66" s="15973"/>
      <c r="CU66" s="1894"/>
      <c r="CV66" s="1894"/>
      <c r="CW66" s="1894"/>
      <c r="CX66" s="1894"/>
      <c r="CY66" s="1894"/>
      <c r="CZ66" s="1894"/>
      <c r="DA66" s="1894"/>
      <c r="DB66" s="16128"/>
      <c r="DC66" s="15973"/>
      <c r="DD66" s="16128"/>
      <c r="DE66" s="15973"/>
      <c r="DF66" s="1894"/>
      <c r="DG66" s="1894"/>
      <c r="DH66" s="1894"/>
      <c r="DI66" s="1894"/>
      <c r="DJ66" s="1894"/>
      <c r="DK66" s="1894"/>
      <c r="DL66" s="1894"/>
      <c r="DM66" s="16128"/>
      <c r="DN66" s="15973"/>
      <c r="DO66" s="16128"/>
      <c r="DP66" s="15973"/>
      <c r="DQ66" s="1894"/>
      <c r="DR66" s="1894"/>
      <c r="DS66" s="1894"/>
      <c r="DT66" s="1894"/>
      <c r="DU66" s="1894"/>
      <c r="DV66" s="1894"/>
      <c r="DW66" s="1894"/>
      <c r="DX66" s="16128"/>
      <c r="DY66" s="15973"/>
      <c r="DZ66" s="16128"/>
      <c r="EA66" s="15973"/>
      <c r="EB66" s="1894"/>
      <c r="EC66" s="1894"/>
      <c r="ED66" s="1894"/>
      <c r="EE66" s="1894"/>
      <c r="EF66" s="1894"/>
      <c r="EG66" s="1894"/>
      <c r="EH66" s="1894"/>
      <c r="EI66" s="16128"/>
      <c r="EJ66" s="15973"/>
      <c r="EK66" s="16128"/>
      <c r="EL66" s="15973"/>
      <c r="EM66" s="14449"/>
      <c r="EN66" s="14449"/>
      <c r="EO66" s="14449"/>
      <c r="EP66" s="14449"/>
      <c r="EQ66" s="14449"/>
      <c r="ER66" s="14449"/>
      <c r="ES66" s="14449"/>
      <c r="ET66" s="16128"/>
      <c r="EU66" s="15973"/>
      <c r="EV66" s="16128"/>
      <c r="EW66" s="15973"/>
      <c r="EX66" s="2523"/>
      <c r="EY66" s="16182"/>
      <c r="EZ66" s="2199"/>
      <c r="FA66" s="2512"/>
      <c r="FB66" s="2512" t="str">
        <f t="shared" si="1"/>
        <v/>
      </c>
      <c r="FC66" s="2512"/>
      <c r="FD66" s="2512"/>
    </row>
    <row r="67" spans="1:160" s="14575" customFormat="1" ht="21" customHeight="1">
      <c r="A67" s="2502"/>
      <c r="B67" s="2502"/>
      <c r="C67" s="2502"/>
      <c r="D67" s="2502"/>
      <c r="E67" s="16125"/>
      <c r="F67" s="16125">
        <v>1</v>
      </c>
      <c r="G67" s="16125"/>
      <c r="H67" s="16125"/>
      <c r="I67" s="16145"/>
      <c r="J67" s="16122"/>
      <c r="K67" s="2502"/>
      <c r="L67" s="2503"/>
      <c r="M67" s="2513"/>
      <c r="N67" s="2513"/>
      <c r="O67" s="2513"/>
      <c r="P67" s="16123"/>
      <c r="Q67" s="16123"/>
      <c r="R67" s="2515"/>
      <c r="S67" s="2906"/>
      <c r="T67" s="2907" t="s">
        <v>621</v>
      </c>
      <c r="U67" s="2908"/>
      <c r="V67" s="2909"/>
      <c r="W67" s="2910"/>
      <c r="X67" s="2911"/>
      <c r="Y67" s="2912"/>
      <c r="Z67" s="2913"/>
      <c r="AA67" s="2914"/>
      <c r="AB67" s="2915"/>
      <c r="AC67" s="2916"/>
      <c r="AD67" s="2917"/>
      <c r="AE67" s="2918"/>
      <c r="AF67" s="2919"/>
      <c r="AG67" s="2920"/>
      <c r="AH67" s="2921"/>
      <c r="AI67" s="2922"/>
      <c r="AJ67" s="2923"/>
      <c r="AK67" s="2924"/>
      <c r="AL67" s="2925"/>
      <c r="AM67" s="2926"/>
      <c r="AN67" s="2927"/>
      <c r="AO67" s="2928"/>
      <c r="AP67" s="2929"/>
      <c r="AQ67" s="2930"/>
      <c r="AR67" s="2931"/>
      <c r="AS67" s="2932"/>
      <c r="AT67" s="2933"/>
      <c r="AU67" s="2934"/>
      <c r="AV67" s="2935"/>
      <c r="AW67" s="2936"/>
      <c r="AX67" s="2937"/>
      <c r="AY67" s="2938"/>
      <c r="AZ67" s="2939"/>
      <c r="BA67" s="2940"/>
      <c r="BB67" s="2941"/>
      <c r="BC67" s="2942"/>
      <c r="BD67" s="2943"/>
      <c r="BE67" s="2944"/>
      <c r="BF67" s="2945"/>
      <c r="BG67" s="2946"/>
      <c r="BH67" s="2947"/>
      <c r="BI67" s="2948"/>
      <c r="BJ67" s="2949"/>
      <c r="BK67" s="2950"/>
      <c r="BL67" s="2951"/>
      <c r="BM67" s="2952"/>
      <c r="BN67" s="2953"/>
      <c r="BO67" s="2954"/>
      <c r="BP67" s="2955"/>
      <c r="BQ67" s="2956"/>
      <c r="BR67" s="2957"/>
      <c r="BS67" s="2958"/>
      <c r="BT67" s="2959"/>
      <c r="BU67" s="2960"/>
      <c r="BV67" s="2961"/>
      <c r="BW67" s="2962"/>
      <c r="BX67" s="2963"/>
      <c r="BY67" s="2964"/>
      <c r="BZ67" s="2965"/>
      <c r="CA67" s="2966"/>
      <c r="CB67" s="2967"/>
      <c r="CC67" s="2968"/>
      <c r="CD67" s="2969"/>
      <c r="CE67" s="2970"/>
      <c r="CF67" s="2971"/>
      <c r="CG67" s="2972"/>
      <c r="CH67" s="2973"/>
      <c r="CI67" s="2974"/>
      <c r="CJ67" s="2975"/>
      <c r="CK67" s="2976"/>
      <c r="CL67" s="2977"/>
      <c r="CM67" s="2978"/>
      <c r="CN67" s="2979"/>
      <c r="CO67" s="2980"/>
      <c r="CP67" s="2981"/>
      <c r="CQ67" s="2982"/>
      <c r="CR67" s="2983"/>
      <c r="CS67" s="2984"/>
      <c r="CT67" s="2985"/>
      <c r="CU67" s="2986"/>
      <c r="CV67" s="2987"/>
      <c r="CW67" s="2988"/>
      <c r="CX67" s="2989"/>
      <c r="CY67" s="2990"/>
      <c r="CZ67" s="2991"/>
      <c r="DA67" s="2992"/>
      <c r="DB67" s="2993"/>
      <c r="DC67" s="2994"/>
      <c r="DD67" s="2995"/>
      <c r="DE67" s="2996"/>
      <c r="DF67" s="2997"/>
      <c r="DG67" s="2998"/>
      <c r="DH67" s="2999"/>
      <c r="DI67" s="3000"/>
      <c r="DJ67" s="3001"/>
      <c r="DK67" s="3002"/>
      <c r="DL67" s="3003"/>
      <c r="DM67" s="3004"/>
      <c r="DN67" s="3005"/>
      <c r="DO67" s="3006"/>
      <c r="DP67" s="3007"/>
      <c r="DQ67" s="3008"/>
      <c r="DR67" s="3009"/>
      <c r="DS67" s="3010"/>
      <c r="DT67" s="3011"/>
      <c r="DU67" s="3012"/>
      <c r="DV67" s="3013"/>
      <c r="DW67" s="3014"/>
      <c r="DX67" s="3015"/>
      <c r="DY67" s="3016"/>
      <c r="DZ67" s="3017"/>
      <c r="EA67" s="3018"/>
      <c r="EB67" s="3019"/>
      <c r="EC67" s="3020"/>
      <c r="ED67" s="3021"/>
      <c r="EE67" s="3022"/>
      <c r="EF67" s="3023"/>
      <c r="EG67" s="3024"/>
      <c r="EH67" s="3025"/>
      <c r="EI67" s="3026"/>
      <c r="EJ67" s="3027"/>
      <c r="EK67" s="3028"/>
      <c r="EL67" s="3029"/>
      <c r="EM67" s="14576"/>
      <c r="EN67" s="14577"/>
      <c r="EO67" s="14578"/>
      <c r="EP67" s="14579"/>
      <c r="EQ67" s="14580"/>
      <c r="ER67" s="14581"/>
      <c r="ES67" s="14582"/>
      <c r="ET67" s="14583"/>
      <c r="EU67" s="14584"/>
      <c r="EV67" s="14585"/>
      <c r="EW67" s="14586"/>
      <c r="EX67" s="3030"/>
      <c r="EY67" s="2511" t="s">
        <v>622</v>
      </c>
      <c r="EZ67" s="2199"/>
      <c r="FA67" s="2512"/>
      <c r="FB67" s="2512" t="str">
        <f t="shared" si="1"/>
        <v>Добавить значение признака дифференциации</v>
      </c>
      <c r="FC67" s="2512"/>
      <c r="FD67" s="2512"/>
    </row>
    <row r="68" spans="1:160" s="14587" customFormat="1" ht="21" customHeight="1">
      <c r="A68" s="2502"/>
      <c r="B68" s="2502"/>
      <c r="C68" s="2502"/>
      <c r="D68" s="2502"/>
      <c r="E68" s="16125"/>
      <c r="F68" s="16125">
        <v>1</v>
      </c>
      <c r="G68" s="16125"/>
      <c r="H68" s="16125"/>
      <c r="I68" s="16122"/>
      <c r="J68" s="2502"/>
      <c r="K68" s="2502"/>
      <c r="L68" s="2503"/>
      <c r="M68" s="2513"/>
      <c r="N68" s="2513"/>
      <c r="O68" s="2513"/>
      <c r="P68" s="16123"/>
      <c r="Q68" s="2514"/>
      <c r="R68" s="2515"/>
      <c r="S68" s="3031"/>
      <c r="T68" s="3032" t="s">
        <v>549</v>
      </c>
      <c r="U68" s="3033"/>
      <c r="V68" s="3034"/>
      <c r="W68" s="3035"/>
      <c r="X68" s="3036"/>
      <c r="Y68" s="3037"/>
      <c r="Z68" s="3038"/>
      <c r="AA68" s="3039"/>
      <c r="AB68" s="3040"/>
      <c r="AC68" s="3041"/>
      <c r="AD68" s="3042"/>
      <c r="AE68" s="3043"/>
      <c r="AF68" s="3044"/>
      <c r="AG68" s="3045"/>
      <c r="AH68" s="3046"/>
      <c r="AI68" s="3047"/>
      <c r="AJ68" s="3048"/>
      <c r="AK68" s="3049"/>
      <c r="AL68" s="3050"/>
      <c r="AM68" s="3051"/>
      <c r="AN68" s="3052"/>
      <c r="AO68" s="3053"/>
      <c r="AP68" s="3054"/>
      <c r="AQ68" s="3055"/>
      <c r="AR68" s="3056"/>
      <c r="AS68" s="3057"/>
      <c r="AT68" s="3058"/>
      <c r="AU68" s="3059"/>
      <c r="AV68" s="3060"/>
      <c r="AW68" s="3061"/>
      <c r="AX68" s="3062"/>
      <c r="AY68" s="3063"/>
      <c r="AZ68" s="3064"/>
      <c r="BA68" s="3065"/>
      <c r="BB68" s="3066"/>
      <c r="BC68" s="3067"/>
      <c r="BD68" s="3068"/>
      <c r="BE68" s="3069"/>
      <c r="BF68" s="3070"/>
      <c r="BG68" s="3071"/>
      <c r="BH68" s="3072"/>
      <c r="BI68" s="3073"/>
      <c r="BJ68" s="3074"/>
      <c r="BK68" s="3075"/>
      <c r="BL68" s="3076"/>
      <c r="BM68" s="3077"/>
      <c r="BN68" s="3078"/>
      <c r="BO68" s="3079"/>
      <c r="BP68" s="3080"/>
      <c r="BQ68" s="3081"/>
      <c r="BR68" s="3082"/>
      <c r="BS68" s="3083"/>
      <c r="BT68" s="3084"/>
      <c r="BU68" s="3085"/>
      <c r="BV68" s="3086"/>
      <c r="BW68" s="3087"/>
      <c r="BX68" s="3088"/>
      <c r="BY68" s="3089"/>
      <c r="BZ68" s="3090"/>
      <c r="CA68" s="3091"/>
      <c r="CB68" s="3092"/>
      <c r="CC68" s="3093"/>
      <c r="CD68" s="3094"/>
      <c r="CE68" s="3095"/>
      <c r="CF68" s="3096"/>
      <c r="CG68" s="3097"/>
      <c r="CH68" s="3098"/>
      <c r="CI68" s="3099"/>
      <c r="CJ68" s="3100"/>
      <c r="CK68" s="3101"/>
      <c r="CL68" s="3102"/>
      <c r="CM68" s="3103"/>
      <c r="CN68" s="3104"/>
      <c r="CO68" s="3105"/>
      <c r="CP68" s="3106"/>
      <c r="CQ68" s="3107"/>
      <c r="CR68" s="3108"/>
      <c r="CS68" s="3109"/>
      <c r="CT68" s="3110"/>
      <c r="CU68" s="3111"/>
      <c r="CV68" s="3112"/>
      <c r="CW68" s="3113"/>
      <c r="CX68" s="3114"/>
      <c r="CY68" s="3115"/>
      <c r="CZ68" s="3116"/>
      <c r="DA68" s="3117"/>
      <c r="DB68" s="3118"/>
      <c r="DC68" s="3119"/>
      <c r="DD68" s="3120"/>
      <c r="DE68" s="3121"/>
      <c r="DF68" s="3122"/>
      <c r="DG68" s="3123"/>
      <c r="DH68" s="3124"/>
      <c r="DI68" s="3125"/>
      <c r="DJ68" s="3126"/>
      <c r="DK68" s="3127"/>
      <c r="DL68" s="3128"/>
      <c r="DM68" s="3129"/>
      <c r="DN68" s="3130"/>
      <c r="DO68" s="3131"/>
      <c r="DP68" s="3132"/>
      <c r="DQ68" s="3133"/>
      <c r="DR68" s="3134"/>
      <c r="DS68" s="3135"/>
      <c r="DT68" s="3136"/>
      <c r="DU68" s="3137"/>
      <c r="DV68" s="3138"/>
      <c r="DW68" s="3139"/>
      <c r="DX68" s="3140"/>
      <c r="DY68" s="3141"/>
      <c r="DZ68" s="3142"/>
      <c r="EA68" s="3143"/>
      <c r="EB68" s="3144"/>
      <c r="EC68" s="3145"/>
      <c r="ED68" s="3146"/>
      <c r="EE68" s="3147"/>
      <c r="EF68" s="3148"/>
      <c r="EG68" s="3149"/>
      <c r="EH68" s="3150"/>
      <c r="EI68" s="3151"/>
      <c r="EJ68" s="3152"/>
      <c r="EK68" s="3153"/>
      <c r="EL68" s="3154"/>
      <c r="EM68" s="14588"/>
      <c r="EN68" s="14589"/>
      <c r="EO68" s="14590"/>
      <c r="EP68" s="14591"/>
      <c r="EQ68" s="14592"/>
      <c r="ER68" s="14593"/>
      <c r="ES68" s="14594"/>
      <c r="ET68" s="14595"/>
      <c r="EU68" s="14596"/>
      <c r="EV68" s="14597"/>
      <c r="EW68" s="14598"/>
      <c r="EX68" s="3155"/>
      <c r="EY68" s="3156"/>
      <c r="EZ68" s="2199"/>
      <c r="FA68" s="2512"/>
      <c r="FB68" s="2512" t="str">
        <f t="shared" si="1"/>
        <v>Добавить группу потребителей</v>
      </c>
      <c r="FC68" s="2512"/>
      <c r="FD68" s="2512"/>
    </row>
    <row r="69" spans="1:160" s="14599" customFormat="1" ht="21" customHeight="1">
      <c r="A69" s="2502"/>
      <c r="B69" s="2502"/>
      <c r="C69" s="2502"/>
      <c r="D69" s="2502"/>
      <c r="E69" s="16125"/>
      <c r="F69" s="16125">
        <v>1</v>
      </c>
      <c r="G69" s="16125"/>
      <c r="H69" s="16124"/>
      <c r="I69" s="2502"/>
      <c r="J69" s="2502"/>
      <c r="K69" s="2502"/>
      <c r="L69" s="2503"/>
      <c r="M69" s="2504"/>
      <c r="N69" s="2504"/>
      <c r="O69" s="2193"/>
      <c r="P69" s="2775"/>
      <c r="Q69" s="2776"/>
      <c r="R69" s="2777"/>
      <c r="S69" s="3157"/>
      <c r="T69" s="3158" t="s">
        <v>623</v>
      </c>
      <c r="U69" s="3159"/>
      <c r="V69" s="3160"/>
      <c r="W69" s="3161"/>
      <c r="X69" s="3162"/>
      <c r="Y69" s="3163"/>
      <c r="Z69" s="3164"/>
      <c r="AA69" s="3165"/>
      <c r="AB69" s="3166"/>
      <c r="AC69" s="3167"/>
      <c r="AD69" s="3168"/>
      <c r="AE69" s="3169"/>
      <c r="AF69" s="3170"/>
      <c r="AG69" s="3171"/>
      <c r="AH69" s="3172"/>
      <c r="AI69" s="3173"/>
      <c r="AJ69" s="3174"/>
      <c r="AK69" s="3175"/>
      <c r="AL69" s="3176"/>
      <c r="AM69" s="3177"/>
      <c r="AN69" s="3178"/>
      <c r="AO69" s="3179"/>
      <c r="AP69" s="3180"/>
      <c r="AQ69" s="3181"/>
      <c r="AR69" s="3182"/>
      <c r="AS69" s="3183"/>
      <c r="AT69" s="3184"/>
      <c r="AU69" s="3185"/>
      <c r="AV69" s="3186"/>
      <c r="AW69" s="3187"/>
      <c r="AX69" s="3188"/>
      <c r="AY69" s="3189"/>
      <c r="AZ69" s="3190"/>
      <c r="BA69" s="3191"/>
      <c r="BB69" s="3192"/>
      <c r="BC69" s="3193"/>
      <c r="BD69" s="3194"/>
      <c r="BE69" s="3195"/>
      <c r="BF69" s="3196"/>
      <c r="BG69" s="3197"/>
      <c r="BH69" s="3198"/>
      <c r="BI69" s="3199"/>
      <c r="BJ69" s="3200"/>
      <c r="BK69" s="3201"/>
      <c r="BL69" s="3202"/>
      <c r="BM69" s="3203"/>
      <c r="BN69" s="3204"/>
      <c r="BO69" s="3205"/>
      <c r="BP69" s="3206"/>
      <c r="BQ69" s="3207"/>
      <c r="BR69" s="3208"/>
      <c r="BS69" s="3209"/>
      <c r="BT69" s="3210"/>
      <c r="BU69" s="3211"/>
      <c r="BV69" s="3212"/>
      <c r="BW69" s="3213"/>
      <c r="BX69" s="3214"/>
      <c r="BY69" s="3215"/>
      <c r="BZ69" s="3216"/>
      <c r="CA69" s="3217"/>
      <c r="CB69" s="3218"/>
      <c r="CC69" s="3219"/>
      <c r="CD69" s="3220"/>
      <c r="CE69" s="3221"/>
      <c r="CF69" s="3222"/>
      <c r="CG69" s="3223"/>
      <c r="CH69" s="3224"/>
      <c r="CI69" s="3225"/>
      <c r="CJ69" s="3226"/>
      <c r="CK69" s="3227"/>
      <c r="CL69" s="3228"/>
      <c r="CM69" s="3229"/>
      <c r="CN69" s="3230"/>
      <c r="CO69" s="3231"/>
      <c r="CP69" s="3232"/>
      <c r="CQ69" s="3233"/>
      <c r="CR69" s="3234"/>
      <c r="CS69" s="3235"/>
      <c r="CT69" s="3236"/>
      <c r="CU69" s="3237"/>
      <c r="CV69" s="3238"/>
      <c r="CW69" s="3239"/>
      <c r="CX69" s="3240"/>
      <c r="CY69" s="3241"/>
      <c r="CZ69" s="3242"/>
      <c r="DA69" s="3243"/>
      <c r="DB69" s="3244"/>
      <c r="DC69" s="3245"/>
      <c r="DD69" s="3246"/>
      <c r="DE69" s="3247"/>
      <c r="DF69" s="3248"/>
      <c r="DG69" s="3249"/>
      <c r="DH69" s="3250"/>
      <c r="DI69" s="3251"/>
      <c r="DJ69" s="3252"/>
      <c r="DK69" s="3253"/>
      <c r="DL69" s="3254"/>
      <c r="DM69" s="3255"/>
      <c r="DN69" s="3256"/>
      <c r="DO69" s="3257"/>
      <c r="DP69" s="3258"/>
      <c r="DQ69" s="3259"/>
      <c r="DR69" s="3260"/>
      <c r="DS69" s="3261"/>
      <c r="DT69" s="3262"/>
      <c r="DU69" s="3263"/>
      <c r="DV69" s="3264"/>
      <c r="DW69" s="3265"/>
      <c r="DX69" s="3266"/>
      <c r="DY69" s="3267"/>
      <c r="DZ69" s="3268"/>
      <c r="EA69" s="3269"/>
      <c r="EB69" s="3270"/>
      <c r="EC69" s="3271"/>
      <c r="ED69" s="3272"/>
      <c r="EE69" s="3273"/>
      <c r="EF69" s="3274"/>
      <c r="EG69" s="3275"/>
      <c r="EH69" s="3276"/>
      <c r="EI69" s="3277"/>
      <c r="EJ69" s="3278"/>
      <c r="EK69" s="3279"/>
      <c r="EL69" s="3280"/>
      <c r="EM69" s="14600"/>
      <c r="EN69" s="14601"/>
      <c r="EO69" s="14602"/>
      <c r="EP69" s="14603"/>
      <c r="EQ69" s="14604"/>
      <c r="ER69" s="14605"/>
      <c r="ES69" s="14606"/>
      <c r="ET69" s="14607"/>
      <c r="EU69" s="14608"/>
      <c r="EV69" s="14609"/>
      <c r="EW69" s="14610"/>
      <c r="EX69" s="3281"/>
      <c r="EY69" s="3282"/>
      <c r="EZ69" s="2199"/>
      <c r="FA69" s="2512"/>
      <c r="FB69" s="2512" t="str">
        <f t="shared" si="1"/>
        <v>Добавить наименование признака дифференциации</v>
      </c>
      <c r="FC69" s="2512"/>
      <c r="FD69" s="2512"/>
    </row>
    <row r="70" spans="1:160" s="14611" customFormat="1" ht="14.25" customHeight="1">
      <c r="A70" s="3283"/>
      <c r="B70" s="3283"/>
      <c r="C70" s="3283"/>
      <c r="D70" s="3283"/>
      <c r="E70" s="16125"/>
      <c r="F70" s="16124">
        <v>1</v>
      </c>
      <c r="G70" s="3283"/>
      <c r="H70" s="3283"/>
      <c r="I70" s="3283"/>
      <c r="J70" s="3283"/>
      <c r="K70" s="3283"/>
      <c r="L70" s="3284"/>
      <c r="M70" s="3285"/>
      <c r="N70" s="3285"/>
      <c r="O70" s="2199"/>
      <c r="P70" s="3286"/>
      <c r="Q70" s="3287"/>
      <c r="R70" s="3286"/>
      <c r="S70" s="3288"/>
      <c r="T70" s="3289" t="s">
        <v>290</v>
      </c>
      <c r="U70" s="2192"/>
      <c r="V70" s="2192"/>
      <c r="W70" s="2192"/>
      <c r="X70" s="2192"/>
      <c r="Y70" s="2192"/>
      <c r="Z70" s="2192"/>
      <c r="AA70" s="2192"/>
      <c r="AB70" s="2192"/>
      <c r="AC70" s="2192"/>
      <c r="AD70" s="2192"/>
      <c r="AE70" s="2192"/>
      <c r="AF70" s="2192"/>
      <c r="AG70" s="2192"/>
      <c r="AH70" s="2192"/>
      <c r="AI70" s="2192"/>
      <c r="AJ70" s="2192"/>
      <c r="AK70" s="2192"/>
      <c r="AL70" s="2192"/>
      <c r="AM70" s="2192"/>
      <c r="AN70" s="2192"/>
      <c r="AO70" s="2192"/>
      <c r="AP70" s="2192"/>
      <c r="AQ70" s="2192"/>
      <c r="AR70" s="2192"/>
      <c r="AS70" s="2192"/>
      <c r="AT70" s="2192"/>
      <c r="AU70" s="2192"/>
      <c r="AV70" s="2192"/>
      <c r="AW70" s="2192"/>
      <c r="AX70" s="2192"/>
      <c r="AY70" s="2192"/>
      <c r="AZ70" s="2192"/>
      <c r="BA70" s="2192"/>
      <c r="BB70" s="2192"/>
      <c r="BC70" s="2192"/>
      <c r="BD70" s="2192"/>
      <c r="BE70" s="2192"/>
      <c r="BF70" s="2192"/>
      <c r="BG70" s="2192"/>
      <c r="BH70" s="2192"/>
      <c r="BI70" s="2192"/>
      <c r="BJ70" s="2192"/>
      <c r="BK70" s="2192"/>
      <c r="BL70" s="2192"/>
      <c r="BM70" s="2192"/>
      <c r="BN70" s="2192"/>
      <c r="BO70" s="2192"/>
      <c r="BP70" s="2192"/>
      <c r="BQ70" s="2192"/>
      <c r="BR70" s="2192"/>
      <c r="BS70" s="2192"/>
      <c r="BT70" s="2192"/>
      <c r="BU70" s="2192"/>
      <c r="BV70" s="2192"/>
      <c r="BW70" s="2192"/>
      <c r="BX70" s="2192"/>
      <c r="BY70" s="2192"/>
      <c r="BZ70" s="2192"/>
      <c r="CA70" s="2192"/>
      <c r="CB70" s="2192"/>
      <c r="CC70" s="2192"/>
      <c r="CD70" s="2192"/>
      <c r="CE70" s="2192"/>
      <c r="CF70" s="2192"/>
      <c r="CG70" s="2192"/>
      <c r="CH70" s="2192"/>
      <c r="CI70" s="2192"/>
      <c r="CJ70" s="2192"/>
      <c r="CK70" s="2192"/>
      <c r="CL70" s="2192"/>
      <c r="CM70" s="2192"/>
      <c r="CN70" s="2192"/>
      <c r="CO70" s="2192"/>
      <c r="CP70" s="2192"/>
      <c r="CQ70" s="2192"/>
      <c r="CR70" s="2192"/>
      <c r="CS70" s="2192"/>
      <c r="CT70" s="2192"/>
      <c r="CU70" s="2192"/>
      <c r="CV70" s="2192"/>
      <c r="CW70" s="2192"/>
      <c r="CX70" s="2192"/>
      <c r="CY70" s="2192"/>
      <c r="CZ70" s="2192"/>
      <c r="DA70" s="2192"/>
      <c r="DB70" s="2192"/>
      <c r="DC70" s="2192"/>
      <c r="DD70" s="2192"/>
      <c r="DE70" s="2192"/>
      <c r="DF70" s="2192"/>
      <c r="DG70" s="2192"/>
      <c r="DH70" s="2192"/>
      <c r="DI70" s="2192"/>
      <c r="DJ70" s="2192"/>
      <c r="DK70" s="2192"/>
      <c r="DL70" s="2192"/>
      <c r="DM70" s="2192"/>
      <c r="DN70" s="2192"/>
      <c r="DO70" s="2192"/>
      <c r="DP70" s="2192"/>
      <c r="DQ70" s="2192"/>
      <c r="DR70" s="2192"/>
      <c r="DS70" s="2192"/>
      <c r="DT70" s="2192"/>
      <c r="DU70" s="2192"/>
      <c r="DV70" s="2192"/>
      <c r="DW70" s="2192"/>
      <c r="DX70" s="2192"/>
      <c r="DY70" s="2192"/>
      <c r="DZ70" s="2192"/>
      <c r="EA70" s="2192"/>
      <c r="EB70" s="2192"/>
      <c r="EC70" s="2192"/>
      <c r="ED70" s="2192"/>
      <c r="EE70" s="2192"/>
      <c r="EF70" s="2192"/>
      <c r="EG70" s="2192"/>
      <c r="EH70" s="2192"/>
      <c r="EI70" s="2192"/>
      <c r="EJ70" s="2192"/>
      <c r="EK70" s="2192"/>
      <c r="EL70" s="2192"/>
      <c r="EM70" s="14483"/>
      <c r="EN70" s="14483"/>
      <c r="EO70" s="14483"/>
      <c r="EP70" s="14483"/>
      <c r="EQ70" s="14483"/>
      <c r="ER70" s="14483"/>
      <c r="ES70" s="14483"/>
      <c r="ET70" s="14483"/>
      <c r="EU70" s="14483"/>
      <c r="EV70" s="14483"/>
      <c r="EW70" s="14483"/>
      <c r="EX70" s="2192"/>
      <c r="EY70" s="2192"/>
      <c r="EZ70" s="2199"/>
      <c r="FA70" s="2512"/>
      <c r="FB70" s="2512" t="str">
        <f t="shared" si="1"/>
        <v>Добавить централизованную систему для дифференциации</v>
      </c>
      <c r="FC70" s="2512"/>
      <c r="FD70" s="2512"/>
    </row>
    <row r="71" spans="1:160" s="14612" customFormat="1" ht="23.25" customHeight="1">
      <c r="A71" s="2502"/>
      <c r="B71" s="2502" t="s">
        <v>295</v>
      </c>
      <c r="C71" s="2502"/>
      <c r="D71" s="2502"/>
      <c r="E71" s="16125"/>
      <c r="F71" s="16124" t="s">
        <v>89</v>
      </c>
      <c r="G71" s="2502"/>
      <c r="H71" s="2502"/>
      <c r="I71" s="2502"/>
      <c r="J71" s="2502"/>
      <c r="K71" s="2502"/>
      <c r="L71" s="2503"/>
      <c r="M71" s="2504"/>
      <c r="N71" s="2504"/>
      <c r="O71" s="2504"/>
      <c r="P71" s="2904"/>
      <c r="Q71" s="2506"/>
      <c r="R71" s="2507"/>
      <c r="S71" s="2508" t="str">
        <f>INDEX(PT_DIFFERENTIATION_NUM_TER,MATCH(B71,PT_DIFFERENTIATION_TER_ID,0))</f>
        <v>1.3</v>
      </c>
      <c r="T71" s="2905" t="s">
        <v>534</v>
      </c>
      <c r="U71" s="2510"/>
      <c r="V71" s="16110"/>
      <c r="W71" s="16111"/>
      <c r="X71" s="16111"/>
      <c r="Y71" s="16111"/>
      <c r="Z71" s="16111"/>
      <c r="AA71" s="16111"/>
      <c r="AB71" s="16111"/>
      <c r="AC71" s="16111"/>
      <c r="AD71" s="16111"/>
      <c r="AE71" s="16111"/>
      <c r="AF71" s="16112"/>
      <c r="AG71" s="16110" t="str">
        <f>INDEX(PT_DIFFERENTIATION_TER,MATCH(B71,PT_DIFFERENTIATION_TER_ID,0))</f>
        <v>Территория 3</v>
      </c>
      <c r="AH71" s="16111"/>
      <c r="AI71" s="16111"/>
      <c r="AJ71" s="16111"/>
      <c r="AK71" s="16111"/>
      <c r="AL71" s="16111"/>
      <c r="AM71" s="16111"/>
      <c r="AN71" s="16111"/>
      <c r="AO71" s="16111"/>
      <c r="AP71" s="16111"/>
      <c r="AQ71" s="16111"/>
      <c r="AR71" s="16110"/>
      <c r="AS71" s="16111"/>
      <c r="AT71" s="16111"/>
      <c r="AU71" s="16111"/>
      <c r="AV71" s="16111"/>
      <c r="AW71" s="16111"/>
      <c r="AX71" s="16111"/>
      <c r="AY71" s="16111"/>
      <c r="AZ71" s="16111"/>
      <c r="BA71" s="16111"/>
      <c r="BB71" s="16112"/>
      <c r="BC71" s="16110"/>
      <c r="BD71" s="16111"/>
      <c r="BE71" s="16111"/>
      <c r="BF71" s="16111"/>
      <c r="BG71" s="16111"/>
      <c r="BH71" s="16111"/>
      <c r="BI71" s="16111"/>
      <c r="BJ71" s="16111"/>
      <c r="BK71" s="16111"/>
      <c r="BL71" s="16111"/>
      <c r="BM71" s="16112"/>
      <c r="BN71" s="16110"/>
      <c r="BO71" s="16111"/>
      <c r="BP71" s="16111"/>
      <c r="BQ71" s="16111"/>
      <c r="BR71" s="16111"/>
      <c r="BS71" s="16111"/>
      <c r="BT71" s="16111"/>
      <c r="BU71" s="16111"/>
      <c r="BV71" s="16111"/>
      <c r="BW71" s="16111"/>
      <c r="BX71" s="16112"/>
      <c r="BY71" s="16110"/>
      <c r="BZ71" s="16111"/>
      <c r="CA71" s="16111"/>
      <c r="CB71" s="16111"/>
      <c r="CC71" s="16111"/>
      <c r="CD71" s="16111"/>
      <c r="CE71" s="16111"/>
      <c r="CF71" s="16111"/>
      <c r="CG71" s="16111"/>
      <c r="CH71" s="16111"/>
      <c r="CI71" s="16112"/>
      <c r="CJ71" s="16110"/>
      <c r="CK71" s="16111"/>
      <c r="CL71" s="16111"/>
      <c r="CM71" s="16111"/>
      <c r="CN71" s="16111"/>
      <c r="CO71" s="16111"/>
      <c r="CP71" s="16111"/>
      <c r="CQ71" s="16111"/>
      <c r="CR71" s="16111"/>
      <c r="CS71" s="16111"/>
      <c r="CT71" s="16112"/>
      <c r="CU71" s="16110"/>
      <c r="CV71" s="16111"/>
      <c r="CW71" s="16111"/>
      <c r="CX71" s="16111"/>
      <c r="CY71" s="16111"/>
      <c r="CZ71" s="16111"/>
      <c r="DA71" s="16111"/>
      <c r="DB71" s="16111"/>
      <c r="DC71" s="16111"/>
      <c r="DD71" s="16111"/>
      <c r="DE71" s="16112"/>
      <c r="DF71" s="16110"/>
      <c r="DG71" s="16111"/>
      <c r="DH71" s="16111"/>
      <c r="DI71" s="16111"/>
      <c r="DJ71" s="16111"/>
      <c r="DK71" s="16111"/>
      <c r="DL71" s="16111"/>
      <c r="DM71" s="16111"/>
      <c r="DN71" s="16111"/>
      <c r="DO71" s="16111"/>
      <c r="DP71" s="16112"/>
      <c r="DQ71" s="16110"/>
      <c r="DR71" s="16111"/>
      <c r="DS71" s="16111"/>
      <c r="DT71" s="16111"/>
      <c r="DU71" s="16111"/>
      <c r="DV71" s="16111"/>
      <c r="DW71" s="16111"/>
      <c r="DX71" s="16111"/>
      <c r="DY71" s="16111"/>
      <c r="DZ71" s="16111"/>
      <c r="EA71" s="16112"/>
      <c r="EB71" s="16110"/>
      <c r="EC71" s="16111"/>
      <c r="ED71" s="16111"/>
      <c r="EE71" s="16111"/>
      <c r="EF71" s="16111"/>
      <c r="EG71" s="16111"/>
      <c r="EH71" s="16111"/>
      <c r="EI71" s="16111"/>
      <c r="EJ71" s="16111"/>
      <c r="EK71" s="16111"/>
      <c r="EL71" s="16112"/>
      <c r="EM71" s="16110"/>
      <c r="EN71" s="16111"/>
      <c r="EO71" s="16111"/>
      <c r="EP71" s="16111"/>
      <c r="EQ71" s="16111"/>
      <c r="ER71" s="16111"/>
      <c r="ES71" s="16111"/>
      <c r="ET71" s="16111"/>
      <c r="EU71" s="16111"/>
      <c r="EV71" s="16111"/>
      <c r="EW71" s="16112"/>
      <c r="EX71" s="16112"/>
      <c r="EY71" s="2511" t="s">
        <v>535</v>
      </c>
      <c r="EZ71" s="2199"/>
      <c r="FA71" s="2512"/>
      <c r="FB71" s="2512" t="str">
        <f t="shared" si="1"/>
        <v>Территория действия тарифа</v>
      </c>
      <c r="FC71" s="2512"/>
      <c r="FD71" s="2512"/>
    </row>
    <row r="72" spans="1:160" s="14613" customFormat="1" ht="23.25" customHeight="1">
      <c r="A72" s="2502"/>
      <c r="B72" s="2502"/>
      <c r="C72" s="2502" t="s">
        <v>296</v>
      </c>
      <c r="D72" s="2502"/>
      <c r="E72" s="16125"/>
      <c r="F72" s="16125" t="s">
        <v>102</v>
      </c>
      <c r="G72" s="16124">
        <v>1</v>
      </c>
      <c r="H72" s="2502"/>
      <c r="I72" s="2502"/>
      <c r="J72" s="2502"/>
      <c r="K72" s="2502"/>
      <c r="L72" s="2503"/>
      <c r="M72" s="2504"/>
      <c r="N72" s="2504"/>
      <c r="O72" s="2504"/>
      <c r="P72" s="2505"/>
      <c r="Q72" s="2506"/>
      <c r="R72" s="2507"/>
      <c r="S72" s="2508" t="str">
        <f>INDEX(PT_DIFFERENTIATION_NUM_CS,MATCH(C72,PT_DIFFERENTIATION_CS_ID,0))</f>
        <v>1.3.1</v>
      </c>
      <c r="T72" s="2509" t="s">
        <v>665</v>
      </c>
      <c r="U72" s="2510"/>
      <c r="V72" s="16110"/>
      <c r="W72" s="16111"/>
      <c r="X72" s="16111"/>
      <c r="Y72" s="16111"/>
      <c r="Z72" s="16111"/>
      <c r="AA72" s="16111"/>
      <c r="AB72" s="16111"/>
      <c r="AC72" s="16111"/>
      <c r="AD72" s="16111"/>
      <c r="AE72" s="16111"/>
      <c r="AF72" s="16112"/>
      <c r="AG72" s="16110" t="str">
        <f>INDEX(PT_DIFFERENTIATION_CS,MATCH(C72,PT_DIFFERENTIATION_CS_ID,0))</f>
        <v>н.п. Шонгуй</v>
      </c>
      <c r="AH72" s="16111"/>
      <c r="AI72" s="16111"/>
      <c r="AJ72" s="16111"/>
      <c r="AK72" s="16111"/>
      <c r="AL72" s="16111"/>
      <c r="AM72" s="16111"/>
      <c r="AN72" s="16111"/>
      <c r="AO72" s="16111"/>
      <c r="AP72" s="16111"/>
      <c r="AQ72" s="16111"/>
      <c r="AR72" s="16110"/>
      <c r="AS72" s="16111"/>
      <c r="AT72" s="16111"/>
      <c r="AU72" s="16111"/>
      <c r="AV72" s="16111"/>
      <c r="AW72" s="16111"/>
      <c r="AX72" s="16111"/>
      <c r="AY72" s="16111"/>
      <c r="AZ72" s="16111"/>
      <c r="BA72" s="16111"/>
      <c r="BB72" s="16112"/>
      <c r="BC72" s="16110"/>
      <c r="BD72" s="16111"/>
      <c r="BE72" s="16111"/>
      <c r="BF72" s="16111"/>
      <c r="BG72" s="16111"/>
      <c r="BH72" s="16111"/>
      <c r="BI72" s="16111"/>
      <c r="BJ72" s="16111"/>
      <c r="BK72" s="16111"/>
      <c r="BL72" s="16111"/>
      <c r="BM72" s="16112"/>
      <c r="BN72" s="16110"/>
      <c r="BO72" s="16111"/>
      <c r="BP72" s="16111"/>
      <c r="BQ72" s="16111"/>
      <c r="BR72" s="16111"/>
      <c r="BS72" s="16111"/>
      <c r="BT72" s="16111"/>
      <c r="BU72" s="16111"/>
      <c r="BV72" s="16111"/>
      <c r="BW72" s="16111"/>
      <c r="BX72" s="16112"/>
      <c r="BY72" s="16110"/>
      <c r="BZ72" s="16111"/>
      <c r="CA72" s="16111"/>
      <c r="CB72" s="16111"/>
      <c r="CC72" s="16111"/>
      <c r="CD72" s="16111"/>
      <c r="CE72" s="16111"/>
      <c r="CF72" s="16111"/>
      <c r="CG72" s="16111"/>
      <c r="CH72" s="16111"/>
      <c r="CI72" s="16112"/>
      <c r="CJ72" s="16110"/>
      <c r="CK72" s="16111"/>
      <c r="CL72" s="16111"/>
      <c r="CM72" s="16111"/>
      <c r="CN72" s="16111"/>
      <c r="CO72" s="16111"/>
      <c r="CP72" s="16111"/>
      <c r="CQ72" s="16111"/>
      <c r="CR72" s="16111"/>
      <c r="CS72" s="16111"/>
      <c r="CT72" s="16112"/>
      <c r="CU72" s="16110"/>
      <c r="CV72" s="16111"/>
      <c r="CW72" s="16111"/>
      <c r="CX72" s="16111"/>
      <c r="CY72" s="16111"/>
      <c r="CZ72" s="16111"/>
      <c r="DA72" s="16111"/>
      <c r="DB72" s="16111"/>
      <c r="DC72" s="16111"/>
      <c r="DD72" s="16111"/>
      <c r="DE72" s="16112"/>
      <c r="DF72" s="16110"/>
      <c r="DG72" s="16111"/>
      <c r="DH72" s="16111"/>
      <c r="DI72" s="16111"/>
      <c r="DJ72" s="16111"/>
      <c r="DK72" s="16111"/>
      <c r="DL72" s="16111"/>
      <c r="DM72" s="16111"/>
      <c r="DN72" s="16111"/>
      <c r="DO72" s="16111"/>
      <c r="DP72" s="16112"/>
      <c r="DQ72" s="16110"/>
      <c r="DR72" s="16111"/>
      <c r="DS72" s="16111"/>
      <c r="DT72" s="16111"/>
      <c r="DU72" s="16111"/>
      <c r="DV72" s="16111"/>
      <c r="DW72" s="16111"/>
      <c r="DX72" s="16111"/>
      <c r="DY72" s="16111"/>
      <c r="DZ72" s="16111"/>
      <c r="EA72" s="16112"/>
      <c r="EB72" s="16110"/>
      <c r="EC72" s="16111"/>
      <c r="ED72" s="16111"/>
      <c r="EE72" s="16111"/>
      <c r="EF72" s="16111"/>
      <c r="EG72" s="16111"/>
      <c r="EH72" s="16111"/>
      <c r="EI72" s="16111"/>
      <c r="EJ72" s="16111"/>
      <c r="EK72" s="16111"/>
      <c r="EL72" s="16112"/>
      <c r="EM72" s="16110"/>
      <c r="EN72" s="16111"/>
      <c r="EO72" s="16111"/>
      <c r="EP72" s="16111"/>
      <c r="EQ72" s="16111"/>
      <c r="ER72" s="16111"/>
      <c r="ES72" s="16111"/>
      <c r="ET72" s="16111"/>
      <c r="EU72" s="16111"/>
      <c r="EV72" s="16111"/>
      <c r="EW72" s="16112"/>
      <c r="EX72" s="16112"/>
      <c r="EY72" s="2511" t="s">
        <v>666</v>
      </c>
      <c r="EZ72" s="2199"/>
      <c r="FA72" s="2512"/>
      <c r="FB72" s="2512" t="str">
        <f t="shared" si="1"/>
        <v>Наименование централизованной системы горячего водоснабжения</v>
      </c>
      <c r="FC72" s="2512"/>
      <c r="FD72" s="2512"/>
    </row>
    <row r="73" spans="1:160" s="14614" customFormat="1" ht="23.25" customHeight="1">
      <c r="A73" s="2502"/>
      <c r="B73" s="2502"/>
      <c r="C73" s="2502"/>
      <c r="D73" s="2502"/>
      <c r="E73" s="16125"/>
      <c r="F73" s="16125" t="s">
        <v>102</v>
      </c>
      <c r="G73" s="16125"/>
      <c r="H73" s="16125"/>
      <c r="I73" s="16122" t="str">
        <f>S72&amp;".1"</f>
        <v>1.3.1.1</v>
      </c>
      <c r="J73" s="2502"/>
      <c r="K73" s="2502"/>
      <c r="L73" s="2503"/>
      <c r="M73" s="2513"/>
      <c r="N73" s="2513"/>
      <c r="O73" s="2513"/>
      <c r="P73" s="16123">
        <v>1</v>
      </c>
      <c r="Q73" s="2514"/>
      <c r="R73" s="2515"/>
      <c r="S73" s="2508" t="str">
        <f>$I73</f>
        <v>1.3.1.1</v>
      </c>
      <c r="T73" s="2516" t="s">
        <v>618</v>
      </c>
      <c r="U73" s="2510"/>
      <c r="V73" s="16183"/>
      <c r="W73" s="16184"/>
      <c r="X73" s="16184"/>
      <c r="Y73" s="16184"/>
      <c r="Z73" s="16184"/>
      <c r="AA73" s="16184"/>
      <c r="AB73" s="16184"/>
      <c r="AC73" s="16184"/>
      <c r="AD73" s="16184"/>
      <c r="AE73" s="16184"/>
      <c r="AF73" s="16185"/>
      <c r="AG73" s="16186"/>
      <c r="AH73" s="16187"/>
      <c r="AI73" s="16187"/>
      <c r="AJ73" s="16187"/>
      <c r="AK73" s="16187"/>
      <c r="AL73" s="16187"/>
      <c r="AM73" s="16187"/>
      <c r="AN73" s="16187"/>
      <c r="AO73" s="16187"/>
      <c r="AP73" s="16187"/>
      <c r="AQ73" s="16187"/>
      <c r="AR73" s="16183"/>
      <c r="AS73" s="16184"/>
      <c r="AT73" s="16184"/>
      <c r="AU73" s="16184"/>
      <c r="AV73" s="16184"/>
      <c r="AW73" s="16184"/>
      <c r="AX73" s="16184"/>
      <c r="AY73" s="16184"/>
      <c r="AZ73" s="16184"/>
      <c r="BA73" s="16184"/>
      <c r="BB73" s="16185"/>
      <c r="BC73" s="16183"/>
      <c r="BD73" s="16184"/>
      <c r="BE73" s="16184"/>
      <c r="BF73" s="16184"/>
      <c r="BG73" s="16184"/>
      <c r="BH73" s="16184"/>
      <c r="BI73" s="16184"/>
      <c r="BJ73" s="16184"/>
      <c r="BK73" s="16184"/>
      <c r="BL73" s="16184"/>
      <c r="BM73" s="16185"/>
      <c r="BN73" s="16183"/>
      <c r="BO73" s="16184"/>
      <c r="BP73" s="16184"/>
      <c r="BQ73" s="16184"/>
      <c r="BR73" s="16184"/>
      <c r="BS73" s="16184"/>
      <c r="BT73" s="16184"/>
      <c r="BU73" s="16184"/>
      <c r="BV73" s="16184"/>
      <c r="BW73" s="16184"/>
      <c r="BX73" s="16185"/>
      <c r="BY73" s="16183"/>
      <c r="BZ73" s="16184"/>
      <c r="CA73" s="16184"/>
      <c r="CB73" s="16184"/>
      <c r="CC73" s="16184"/>
      <c r="CD73" s="16184"/>
      <c r="CE73" s="16184"/>
      <c r="CF73" s="16184"/>
      <c r="CG73" s="16184"/>
      <c r="CH73" s="16184"/>
      <c r="CI73" s="16185"/>
      <c r="CJ73" s="16183"/>
      <c r="CK73" s="16184"/>
      <c r="CL73" s="16184"/>
      <c r="CM73" s="16184"/>
      <c r="CN73" s="16184"/>
      <c r="CO73" s="16184"/>
      <c r="CP73" s="16184"/>
      <c r="CQ73" s="16184"/>
      <c r="CR73" s="16184"/>
      <c r="CS73" s="16184"/>
      <c r="CT73" s="16185"/>
      <c r="CU73" s="16183"/>
      <c r="CV73" s="16184"/>
      <c r="CW73" s="16184"/>
      <c r="CX73" s="16184"/>
      <c r="CY73" s="16184"/>
      <c r="CZ73" s="16184"/>
      <c r="DA73" s="16184"/>
      <c r="DB73" s="16184"/>
      <c r="DC73" s="16184"/>
      <c r="DD73" s="16184"/>
      <c r="DE73" s="16185"/>
      <c r="DF73" s="16183"/>
      <c r="DG73" s="16184"/>
      <c r="DH73" s="16184"/>
      <c r="DI73" s="16184"/>
      <c r="DJ73" s="16184"/>
      <c r="DK73" s="16184"/>
      <c r="DL73" s="16184"/>
      <c r="DM73" s="16184"/>
      <c r="DN73" s="16184"/>
      <c r="DO73" s="16184"/>
      <c r="DP73" s="16185"/>
      <c r="DQ73" s="16183"/>
      <c r="DR73" s="16184"/>
      <c r="DS73" s="16184"/>
      <c r="DT73" s="16184"/>
      <c r="DU73" s="16184"/>
      <c r="DV73" s="16184"/>
      <c r="DW73" s="16184"/>
      <c r="DX73" s="16184"/>
      <c r="DY73" s="16184"/>
      <c r="DZ73" s="16184"/>
      <c r="EA73" s="16185"/>
      <c r="EB73" s="16183"/>
      <c r="EC73" s="16184"/>
      <c r="ED73" s="16184"/>
      <c r="EE73" s="16184"/>
      <c r="EF73" s="16184"/>
      <c r="EG73" s="16184"/>
      <c r="EH73" s="16184"/>
      <c r="EI73" s="16184"/>
      <c r="EJ73" s="16184"/>
      <c r="EK73" s="16184"/>
      <c r="EL73" s="16185"/>
      <c r="EM73" s="16183"/>
      <c r="EN73" s="16184"/>
      <c r="EO73" s="16184"/>
      <c r="EP73" s="16184"/>
      <c r="EQ73" s="16184"/>
      <c r="ER73" s="16184"/>
      <c r="ES73" s="16184"/>
      <c r="ET73" s="16184"/>
      <c r="EU73" s="16184"/>
      <c r="EV73" s="16184"/>
      <c r="EW73" s="16185"/>
      <c r="EX73" s="16188"/>
      <c r="EY73" s="2511" t="s">
        <v>619</v>
      </c>
      <c r="EZ73" s="2199"/>
      <c r="FA73" s="2512"/>
      <c r="FB73" s="2512" t="str">
        <f t="shared" si="1"/>
        <v>Наименование признака дифференциации</v>
      </c>
      <c r="FC73" s="2512"/>
      <c r="FD73" s="2512"/>
    </row>
    <row r="74" spans="1:160" s="14615" customFormat="1" ht="23.25" customHeight="1">
      <c r="A74" s="2502"/>
      <c r="B74" s="2502"/>
      <c r="C74" s="2502"/>
      <c r="D74" s="2502"/>
      <c r="E74" s="16125"/>
      <c r="F74" s="16125" t="s">
        <v>102</v>
      </c>
      <c r="G74" s="16125"/>
      <c r="H74" s="16125"/>
      <c r="I74" s="16145"/>
      <c r="J74" s="16122" t="str">
        <f>I73&amp;".1"</f>
        <v>1.3.1.1.1</v>
      </c>
      <c r="K74" s="2502"/>
      <c r="L74" s="2503" t="s">
        <v>543</v>
      </c>
      <c r="M74" s="2513"/>
      <c r="N74" s="2513"/>
      <c r="O74" s="2513"/>
      <c r="P74" s="16123"/>
      <c r="Q74" s="16123">
        <v>1</v>
      </c>
      <c r="R74" s="2517"/>
      <c r="S74" s="2508" t="str">
        <f>$J74</f>
        <v>1.3.1.1.1</v>
      </c>
      <c r="T74" s="2518" t="s">
        <v>544</v>
      </c>
      <c r="U74" s="2510"/>
      <c r="V74" s="16113"/>
      <c r="W74" s="16114"/>
      <c r="X74" s="16114"/>
      <c r="Y74" s="16114"/>
      <c r="Z74" s="16114"/>
      <c r="AA74" s="16114"/>
      <c r="AB74" s="16114"/>
      <c r="AC74" s="16114"/>
      <c r="AD74" s="16114"/>
      <c r="AE74" s="16114"/>
      <c r="AF74" s="16115"/>
      <c r="AG74" s="16113" t="s">
        <v>678</v>
      </c>
      <c r="AH74" s="16114"/>
      <c r="AI74" s="16114"/>
      <c r="AJ74" s="16114"/>
      <c r="AK74" s="16114"/>
      <c r="AL74" s="16114"/>
      <c r="AM74" s="16114"/>
      <c r="AN74" s="16114"/>
      <c r="AO74" s="16114"/>
      <c r="AP74" s="16114"/>
      <c r="AQ74" s="16114"/>
      <c r="AR74" s="16113"/>
      <c r="AS74" s="16114"/>
      <c r="AT74" s="16114"/>
      <c r="AU74" s="16114"/>
      <c r="AV74" s="16114"/>
      <c r="AW74" s="16114"/>
      <c r="AX74" s="16114"/>
      <c r="AY74" s="16114"/>
      <c r="AZ74" s="16114"/>
      <c r="BA74" s="16114"/>
      <c r="BB74" s="16115"/>
      <c r="BC74" s="16113"/>
      <c r="BD74" s="16114"/>
      <c r="BE74" s="16114"/>
      <c r="BF74" s="16114"/>
      <c r="BG74" s="16114"/>
      <c r="BH74" s="16114"/>
      <c r="BI74" s="16114"/>
      <c r="BJ74" s="16114"/>
      <c r="BK74" s="16114"/>
      <c r="BL74" s="16114"/>
      <c r="BM74" s="16115"/>
      <c r="BN74" s="16113"/>
      <c r="BO74" s="16114"/>
      <c r="BP74" s="16114"/>
      <c r="BQ74" s="16114"/>
      <c r="BR74" s="16114"/>
      <c r="BS74" s="16114"/>
      <c r="BT74" s="16114"/>
      <c r="BU74" s="16114"/>
      <c r="BV74" s="16114"/>
      <c r="BW74" s="16114"/>
      <c r="BX74" s="16115"/>
      <c r="BY74" s="16113"/>
      <c r="BZ74" s="16114"/>
      <c r="CA74" s="16114"/>
      <c r="CB74" s="16114"/>
      <c r="CC74" s="16114"/>
      <c r="CD74" s="16114"/>
      <c r="CE74" s="16114"/>
      <c r="CF74" s="16114"/>
      <c r="CG74" s="16114"/>
      <c r="CH74" s="16114"/>
      <c r="CI74" s="16115"/>
      <c r="CJ74" s="16113"/>
      <c r="CK74" s="16114"/>
      <c r="CL74" s="16114"/>
      <c r="CM74" s="16114"/>
      <c r="CN74" s="16114"/>
      <c r="CO74" s="16114"/>
      <c r="CP74" s="16114"/>
      <c r="CQ74" s="16114"/>
      <c r="CR74" s="16114"/>
      <c r="CS74" s="16114"/>
      <c r="CT74" s="16115"/>
      <c r="CU74" s="16113"/>
      <c r="CV74" s="16114"/>
      <c r="CW74" s="16114"/>
      <c r="CX74" s="16114"/>
      <c r="CY74" s="16114"/>
      <c r="CZ74" s="16114"/>
      <c r="DA74" s="16114"/>
      <c r="DB74" s="16114"/>
      <c r="DC74" s="16114"/>
      <c r="DD74" s="16114"/>
      <c r="DE74" s="16115"/>
      <c r="DF74" s="16113"/>
      <c r="DG74" s="16114"/>
      <c r="DH74" s="16114"/>
      <c r="DI74" s="16114"/>
      <c r="DJ74" s="16114"/>
      <c r="DK74" s="16114"/>
      <c r="DL74" s="16114"/>
      <c r="DM74" s="16114"/>
      <c r="DN74" s="16114"/>
      <c r="DO74" s="16114"/>
      <c r="DP74" s="16115"/>
      <c r="DQ74" s="16113"/>
      <c r="DR74" s="16114"/>
      <c r="DS74" s="16114"/>
      <c r="DT74" s="16114"/>
      <c r="DU74" s="16114"/>
      <c r="DV74" s="16114"/>
      <c r="DW74" s="16114"/>
      <c r="DX74" s="16114"/>
      <c r="DY74" s="16114"/>
      <c r="DZ74" s="16114"/>
      <c r="EA74" s="16115"/>
      <c r="EB74" s="16113"/>
      <c r="EC74" s="16114"/>
      <c r="ED74" s="16114"/>
      <c r="EE74" s="16114"/>
      <c r="EF74" s="16114"/>
      <c r="EG74" s="16114"/>
      <c r="EH74" s="16114"/>
      <c r="EI74" s="16114"/>
      <c r="EJ74" s="16114"/>
      <c r="EK74" s="16114"/>
      <c r="EL74" s="16115"/>
      <c r="EM74" s="16113"/>
      <c r="EN74" s="16114"/>
      <c r="EO74" s="16114"/>
      <c r="EP74" s="16114"/>
      <c r="EQ74" s="16114"/>
      <c r="ER74" s="16114"/>
      <c r="ES74" s="16114"/>
      <c r="ET74" s="16114"/>
      <c r="EU74" s="16114"/>
      <c r="EV74" s="16114"/>
      <c r="EW74" s="16115"/>
      <c r="EX74" s="16115"/>
      <c r="EY74" s="2519" t="s">
        <v>620</v>
      </c>
      <c r="EZ74" s="2199"/>
      <c r="FA74" s="2512"/>
      <c r="FB74" s="2512" t="str">
        <f t="shared" si="1"/>
        <v>Группа потребителей</v>
      </c>
      <c r="FC74" s="2512"/>
      <c r="FD74" s="2512"/>
    </row>
    <row r="75" spans="1:160" s="14616" customFormat="1" ht="23.25" customHeight="1">
      <c r="A75" s="2502"/>
      <c r="B75" s="2502"/>
      <c r="C75" s="2502"/>
      <c r="D75" s="2502"/>
      <c r="E75" s="16125"/>
      <c r="F75" s="16125" t="s">
        <v>102</v>
      </c>
      <c r="G75" s="16125"/>
      <c r="H75" s="16125"/>
      <c r="I75" s="16145"/>
      <c r="J75" s="16145"/>
      <c r="K75" s="16122" t="str">
        <f>J74&amp;".1"</f>
        <v>1.3.1.1.1.1</v>
      </c>
      <c r="L75" s="2503"/>
      <c r="M75" s="2513"/>
      <c r="N75" s="2513"/>
      <c r="O75" s="2513"/>
      <c r="P75" s="16123"/>
      <c r="Q75" s="16123"/>
      <c r="R75" s="2517">
        <v>1</v>
      </c>
      <c r="S75" s="2508" t="str">
        <f>$K75</f>
        <v>1.3.1.1.1.1</v>
      </c>
      <c r="T75" s="2520"/>
      <c r="U75" s="2510"/>
      <c r="V75" s="1893"/>
      <c r="W75" s="1893"/>
      <c r="X75" s="1893"/>
      <c r="Y75" s="1893"/>
      <c r="Z75" s="1893"/>
      <c r="AA75" s="1893"/>
      <c r="AB75" s="1893"/>
      <c r="AC75" s="16127"/>
      <c r="AD75" s="15973" t="s">
        <v>66</v>
      </c>
      <c r="AE75" s="16127"/>
      <c r="AF75" s="15973" t="s">
        <v>66</v>
      </c>
      <c r="AG75" s="1893">
        <v>41.45</v>
      </c>
      <c r="AH75" s="1893"/>
      <c r="AI75" s="1893"/>
      <c r="AJ75" s="1893"/>
      <c r="AK75" s="1893">
        <v>3804.36</v>
      </c>
      <c r="AL75" s="1893"/>
      <c r="AM75" s="1893"/>
      <c r="AN75" s="16127">
        <v>45292</v>
      </c>
      <c r="AO75" s="15973" t="s">
        <v>66</v>
      </c>
      <c r="AP75" s="16146">
        <v>45378</v>
      </c>
      <c r="AQ75" s="15973" t="s">
        <v>66</v>
      </c>
      <c r="AR75" s="1893">
        <v>41.45</v>
      </c>
      <c r="AS75" s="1893"/>
      <c r="AT75" s="1893"/>
      <c r="AU75" s="1893"/>
      <c r="AV75" s="1893">
        <v>3804.36</v>
      </c>
      <c r="AW75" s="1893"/>
      <c r="AX75" s="1893"/>
      <c r="AY75" s="16127">
        <v>45379</v>
      </c>
      <c r="AZ75" s="15973" t="s">
        <v>66</v>
      </c>
      <c r="BA75" s="16127">
        <v>45473</v>
      </c>
      <c r="BB75" s="15973" t="s">
        <v>66</v>
      </c>
      <c r="BC75" s="1893">
        <v>45.85</v>
      </c>
      <c r="BD75" s="1893"/>
      <c r="BE75" s="1893"/>
      <c r="BF75" s="1893"/>
      <c r="BG75" s="1893">
        <v>4000</v>
      </c>
      <c r="BH75" s="1893"/>
      <c r="BI75" s="1893"/>
      <c r="BJ75" s="16127">
        <v>45474</v>
      </c>
      <c r="BK75" s="15973" t="s">
        <v>66</v>
      </c>
      <c r="BL75" s="16127">
        <v>45657</v>
      </c>
      <c r="BM75" s="15973" t="s">
        <v>66</v>
      </c>
      <c r="BN75" s="1893">
        <v>43.39</v>
      </c>
      <c r="BO75" s="1893"/>
      <c r="BP75" s="1893"/>
      <c r="BQ75" s="1893"/>
      <c r="BR75" s="1893">
        <v>4000</v>
      </c>
      <c r="BS75" s="1893"/>
      <c r="BT75" s="1893"/>
      <c r="BU75" s="16127">
        <v>45658</v>
      </c>
      <c r="BV75" s="15973" t="s">
        <v>66</v>
      </c>
      <c r="BW75" s="16127">
        <v>45838</v>
      </c>
      <c r="BX75" s="15973" t="s">
        <v>66</v>
      </c>
      <c r="BY75" s="1893">
        <v>45.13</v>
      </c>
      <c r="BZ75" s="1893"/>
      <c r="CA75" s="1893"/>
      <c r="CB75" s="1893"/>
      <c r="CC75" s="1893">
        <v>4168</v>
      </c>
      <c r="CD75" s="1893"/>
      <c r="CE75" s="1893"/>
      <c r="CF75" s="16127">
        <v>45839</v>
      </c>
      <c r="CG75" s="15973" t="s">
        <v>66</v>
      </c>
      <c r="CH75" s="16127">
        <v>46022</v>
      </c>
      <c r="CI75" s="15973" t="s">
        <v>66</v>
      </c>
      <c r="CJ75" s="1893">
        <v>45.13</v>
      </c>
      <c r="CK75" s="1893"/>
      <c r="CL75" s="1893"/>
      <c r="CM75" s="1893"/>
      <c r="CN75" s="1893">
        <v>4168</v>
      </c>
      <c r="CO75" s="1893"/>
      <c r="CP75" s="1893"/>
      <c r="CQ75" s="16127">
        <v>46023</v>
      </c>
      <c r="CR75" s="15973" t="s">
        <v>66</v>
      </c>
      <c r="CS75" s="16127">
        <v>46203</v>
      </c>
      <c r="CT75" s="15973" t="s">
        <v>66</v>
      </c>
      <c r="CU75" s="1893">
        <v>46.93</v>
      </c>
      <c r="CV75" s="1893"/>
      <c r="CW75" s="1893"/>
      <c r="CX75" s="1893"/>
      <c r="CY75" s="1893">
        <v>4334.72</v>
      </c>
      <c r="CZ75" s="1893"/>
      <c r="DA75" s="1893"/>
      <c r="DB75" s="16127">
        <v>46204</v>
      </c>
      <c r="DC75" s="15973" t="s">
        <v>66</v>
      </c>
      <c r="DD75" s="16127">
        <v>46387</v>
      </c>
      <c r="DE75" s="15973" t="s">
        <v>66</v>
      </c>
      <c r="DF75" s="1893">
        <v>46.93</v>
      </c>
      <c r="DG75" s="1893"/>
      <c r="DH75" s="1893"/>
      <c r="DI75" s="1893"/>
      <c r="DJ75" s="1893">
        <v>4334.72</v>
      </c>
      <c r="DK75" s="1893"/>
      <c r="DL75" s="1893"/>
      <c r="DM75" s="16127">
        <v>46388</v>
      </c>
      <c r="DN75" s="15973" t="s">
        <v>66</v>
      </c>
      <c r="DO75" s="16127">
        <v>46568</v>
      </c>
      <c r="DP75" s="15973" t="s">
        <v>66</v>
      </c>
      <c r="DQ75" s="1893">
        <v>48.34</v>
      </c>
      <c r="DR75" s="1893"/>
      <c r="DS75" s="1893"/>
      <c r="DT75" s="1893"/>
      <c r="DU75" s="1893">
        <v>4508.1099999999997</v>
      </c>
      <c r="DV75" s="1893"/>
      <c r="DW75" s="1893"/>
      <c r="DX75" s="16127">
        <v>46569</v>
      </c>
      <c r="DY75" s="15973" t="s">
        <v>66</v>
      </c>
      <c r="DZ75" s="16127">
        <v>46752</v>
      </c>
      <c r="EA75" s="15973" t="s">
        <v>66</v>
      </c>
      <c r="EB75" s="1893">
        <v>48.34</v>
      </c>
      <c r="EC75" s="1893"/>
      <c r="ED75" s="1893"/>
      <c r="EE75" s="1893"/>
      <c r="EF75" s="1893">
        <v>4508.1099999999997</v>
      </c>
      <c r="EG75" s="1893"/>
      <c r="EH75" s="1893"/>
      <c r="EI75" s="16127">
        <v>46753</v>
      </c>
      <c r="EJ75" s="15973" t="s">
        <v>66</v>
      </c>
      <c r="EK75" s="16127">
        <v>46934</v>
      </c>
      <c r="EL75" s="15973" t="s">
        <v>66</v>
      </c>
      <c r="EM75" s="14448">
        <v>50.27</v>
      </c>
      <c r="EN75" s="14448"/>
      <c r="EO75" s="14448"/>
      <c r="EP75" s="14448"/>
      <c r="EQ75" s="14448">
        <v>4688.43</v>
      </c>
      <c r="ER75" s="14448"/>
      <c r="ES75" s="14448"/>
      <c r="ET75" s="16127">
        <v>46935</v>
      </c>
      <c r="EU75" s="15973" t="s">
        <v>66</v>
      </c>
      <c r="EV75" s="16127">
        <v>47118</v>
      </c>
      <c r="EW75" s="15973" t="s">
        <v>66</v>
      </c>
      <c r="EX75" s="2521"/>
      <c r="EY75"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75" s="2199" t="e">
        <f ca="1">STRCHECKDATE(V76:EX76)</f>
        <v>#NAME?</v>
      </c>
      <c r="FA75" s="2512"/>
      <c r="FB75" s="2512" t="str">
        <f t="shared" si="1"/>
        <v/>
      </c>
      <c r="FC75" s="2512"/>
      <c r="FD75" s="2512"/>
    </row>
    <row r="76" spans="1:160" s="14617" customFormat="1" ht="14.25" customHeight="1">
      <c r="A76" s="2502"/>
      <c r="B76" s="2502"/>
      <c r="C76" s="2502"/>
      <c r="D76" s="2502"/>
      <c r="E76" s="16125"/>
      <c r="F76" s="16125" t="s">
        <v>102</v>
      </c>
      <c r="G76" s="16125"/>
      <c r="H76" s="16125"/>
      <c r="I76" s="16145"/>
      <c r="J76" s="16145"/>
      <c r="K76" s="16122"/>
      <c r="L76" s="2503"/>
      <c r="M76" s="2513"/>
      <c r="N76" s="2513"/>
      <c r="O76" s="2513"/>
      <c r="P76" s="16123"/>
      <c r="Q76" s="16123"/>
      <c r="R76" s="2517"/>
      <c r="S76" s="2522"/>
      <c r="T76" s="2510"/>
      <c r="U76" s="2510"/>
      <c r="V76" s="1894"/>
      <c r="W76" s="1894"/>
      <c r="X76" s="1894"/>
      <c r="Y76" s="1894"/>
      <c r="Z76" s="1894"/>
      <c r="AA76" s="1894"/>
      <c r="AB76" s="1894"/>
      <c r="AC76" s="16128"/>
      <c r="AD76" s="15973"/>
      <c r="AE76" s="16128"/>
      <c r="AF76" s="15973"/>
      <c r="AG76" s="1894"/>
      <c r="AH76" s="1894"/>
      <c r="AI76" s="1894"/>
      <c r="AJ76" s="1894"/>
      <c r="AK76" s="1894"/>
      <c r="AL76" s="1894"/>
      <c r="AM76" s="1894"/>
      <c r="AN76" s="16128"/>
      <c r="AO76" s="15973"/>
      <c r="AP76" s="16147"/>
      <c r="AQ76" s="15973"/>
      <c r="AR76" s="1894"/>
      <c r="AS76" s="1894"/>
      <c r="AT76" s="1894"/>
      <c r="AU76" s="1894"/>
      <c r="AV76" s="1894"/>
      <c r="AW76" s="1894"/>
      <c r="AX76" s="1894"/>
      <c r="AY76" s="16128"/>
      <c r="AZ76" s="15973"/>
      <c r="BA76" s="16128"/>
      <c r="BB76" s="15973"/>
      <c r="BC76" s="1894"/>
      <c r="BD76" s="1894"/>
      <c r="BE76" s="1894"/>
      <c r="BF76" s="1894"/>
      <c r="BG76" s="1894"/>
      <c r="BH76" s="1894"/>
      <c r="BI76" s="1894"/>
      <c r="BJ76" s="16128"/>
      <c r="BK76" s="15973"/>
      <c r="BL76" s="16128"/>
      <c r="BM76" s="15973"/>
      <c r="BN76" s="1894"/>
      <c r="BO76" s="1894"/>
      <c r="BP76" s="1894"/>
      <c r="BQ76" s="1894"/>
      <c r="BR76" s="1894"/>
      <c r="BS76" s="1894"/>
      <c r="BT76" s="1894"/>
      <c r="BU76" s="16128"/>
      <c r="BV76" s="15973"/>
      <c r="BW76" s="16128"/>
      <c r="BX76" s="15973"/>
      <c r="BY76" s="1894"/>
      <c r="BZ76" s="1894"/>
      <c r="CA76" s="1894"/>
      <c r="CB76" s="1894"/>
      <c r="CC76" s="1894"/>
      <c r="CD76" s="1894"/>
      <c r="CE76" s="1894"/>
      <c r="CF76" s="16128"/>
      <c r="CG76" s="15973"/>
      <c r="CH76" s="16128"/>
      <c r="CI76" s="15973"/>
      <c r="CJ76" s="1894"/>
      <c r="CK76" s="1894"/>
      <c r="CL76" s="1894"/>
      <c r="CM76" s="1894"/>
      <c r="CN76" s="1894"/>
      <c r="CO76" s="1894"/>
      <c r="CP76" s="1894"/>
      <c r="CQ76" s="16128"/>
      <c r="CR76" s="15973"/>
      <c r="CS76" s="16128"/>
      <c r="CT76" s="15973"/>
      <c r="CU76" s="1894"/>
      <c r="CV76" s="1894"/>
      <c r="CW76" s="1894"/>
      <c r="CX76" s="1894"/>
      <c r="CY76" s="1894"/>
      <c r="CZ76" s="1894"/>
      <c r="DA76" s="1894"/>
      <c r="DB76" s="16128"/>
      <c r="DC76" s="15973"/>
      <c r="DD76" s="16128"/>
      <c r="DE76" s="15973"/>
      <c r="DF76" s="1894"/>
      <c r="DG76" s="1894"/>
      <c r="DH76" s="1894"/>
      <c r="DI76" s="1894"/>
      <c r="DJ76" s="1894"/>
      <c r="DK76" s="1894"/>
      <c r="DL76" s="1894"/>
      <c r="DM76" s="16128"/>
      <c r="DN76" s="15973"/>
      <c r="DO76" s="16128"/>
      <c r="DP76" s="15973"/>
      <c r="DQ76" s="1894"/>
      <c r="DR76" s="1894"/>
      <c r="DS76" s="1894"/>
      <c r="DT76" s="1894"/>
      <c r="DU76" s="1894"/>
      <c r="DV76" s="1894"/>
      <c r="DW76" s="1894"/>
      <c r="DX76" s="16128"/>
      <c r="DY76" s="15973"/>
      <c r="DZ76" s="16128"/>
      <c r="EA76" s="15973"/>
      <c r="EB76" s="1894"/>
      <c r="EC76" s="1894"/>
      <c r="ED76" s="1894"/>
      <c r="EE76" s="1894"/>
      <c r="EF76" s="1894"/>
      <c r="EG76" s="1894"/>
      <c r="EH76" s="1894"/>
      <c r="EI76" s="16128"/>
      <c r="EJ76" s="15973"/>
      <c r="EK76" s="16128"/>
      <c r="EL76" s="15973"/>
      <c r="EM76" s="14449"/>
      <c r="EN76" s="14449"/>
      <c r="EO76" s="14449"/>
      <c r="EP76" s="14449"/>
      <c r="EQ76" s="14449"/>
      <c r="ER76" s="14449"/>
      <c r="ES76" s="14449"/>
      <c r="ET76" s="16128"/>
      <c r="EU76" s="15973"/>
      <c r="EV76" s="16128"/>
      <c r="EW76" s="15973"/>
      <c r="EX76" s="2523"/>
      <c r="EY76" s="16182"/>
      <c r="EZ76" s="2199"/>
      <c r="FA76" s="2512"/>
      <c r="FB76" s="2512" t="str">
        <f t="shared" si="1"/>
        <v/>
      </c>
      <c r="FC76" s="2512"/>
      <c r="FD76" s="2512"/>
    </row>
    <row r="77" spans="1:160" s="14618" customFormat="1" ht="21" customHeight="1">
      <c r="A77" s="2502"/>
      <c r="B77" s="2502"/>
      <c r="C77" s="2502"/>
      <c r="D77" s="2502"/>
      <c r="E77" s="16125"/>
      <c r="F77" s="16125" t="s">
        <v>102</v>
      </c>
      <c r="G77" s="16125"/>
      <c r="H77" s="16125"/>
      <c r="I77" s="16145"/>
      <c r="J77" s="16122"/>
      <c r="K77" s="2502"/>
      <c r="L77" s="2503"/>
      <c r="M77" s="2513"/>
      <c r="N77" s="2513"/>
      <c r="O77" s="2513"/>
      <c r="P77" s="16123"/>
      <c r="Q77" s="16123"/>
      <c r="R77" s="2515"/>
      <c r="S77" s="3290"/>
      <c r="T77" s="3291" t="s">
        <v>621</v>
      </c>
      <c r="U77" s="3292"/>
      <c r="V77" s="3293"/>
      <c r="W77" s="3294"/>
      <c r="X77" s="3295"/>
      <c r="Y77" s="3296"/>
      <c r="Z77" s="3297"/>
      <c r="AA77" s="3298"/>
      <c r="AB77" s="3299"/>
      <c r="AC77" s="3300"/>
      <c r="AD77" s="3301"/>
      <c r="AE77" s="3302"/>
      <c r="AF77" s="3303"/>
      <c r="AG77" s="3304"/>
      <c r="AH77" s="3305"/>
      <c r="AI77" s="3306"/>
      <c r="AJ77" s="3307"/>
      <c r="AK77" s="3308"/>
      <c r="AL77" s="3309"/>
      <c r="AM77" s="3310"/>
      <c r="AN77" s="3311"/>
      <c r="AO77" s="3312"/>
      <c r="AP77" s="3313"/>
      <c r="AQ77" s="3314"/>
      <c r="AR77" s="3315"/>
      <c r="AS77" s="3316"/>
      <c r="AT77" s="3317"/>
      <c r="AU77" s="3318"/>
      <c r="AV77" s="3319"/>
      <c r="AW77" s="3320"/>
      <c r="AX77" s="3321"/>
      <c r="AY77" s="3322"/>
      <c r="AZ77" s="3323"/>
      <c r="BA77" s="3324"/>
      <c r="BB77" s="3325"/>
      <c r="BC77" s="3326"/>
      <c r="BD77" s="3327"/>
      <c r="BE77" s="3328"/>
      <c r="BF77" s="3329"/>
      <c r="BG77" s="3330"/>
      <c r="BH77" s="3331"/>
      <c r="BI77" s="3332"/>
      <c r="BJ77" s="3333"/>
      <c r="BK77" s="3334"/>
      <c r="BL77" s="3335"/>
      <c r="BM77" s="3336"/>
      <c r="BN77" s="3337"/>
      <c r="BO77" s="3338"/>
      <c r="BP77" s="3339"/>
      <c r="BQ77" s="3340"/>
      <c r="BR77" s="3341"/>
      <c r="BS77" s="3342"/>
      <c r="BT77" s="3343"/>
      <c r="BU77" s="3344"/>
      <c r="BV77" s="3345"/>
      <c r="BW77" s="3346"/>
      <c r="BX77" s="3347"/>
      <c r="BY77" s="3348"/>
      <c r="BZ77" s="3349"/>
      <c r="CA77" s="3350"/>
      <c r="CB77" s="3351"/>
      <c r="CC77" s="3352"/>
      <c r="CD77" s="3353"/>
      <c r="CE77" s="3354"/>
      <c r="CF77" s="3355"/>
      <c r="CG77" s="3356"/>
      <c r="CH77" s="3357"/>
      <c r="CI77" s="3358"/>
      <c r="CJ77" s="3359"/>
      <c r="CK77" s="3360"/>
      <c r="CL77" s="3361"/>
      <c r="CM77" s="3362"/>
      <c r="CN77" s="3363"/>
      <c r="CO77" s="3364"/>
      <c r="CP77" s="3365"/>
      <c r="CQ77" s="3366"/>
      <c r="CR77" s="3367"/>
      <c r="CS77" s="3368"/>
      <c r="CT77" s="3369"/>
      <c r="CU77" s="3370"/>
      <c r="CV77" s="3371"/>
      <c r="CW77" s="3372"/>
      <c r="CX77" s="3373"/>
      <c r="CY77" s="3374"/>
      <c r="CZ77" s="3375"/>
      <c r="DA77" s="3376"/>
      <c r="DB77" s="3377"/>
      <c r="DC77" s="3378"/>
      <c r="DD77" s="3379"/>
      <c r="DE77" s="3380"/>
      <c r="DF77" s="3381"/>
      <c r="DG77" s="3382"/>
      <c r="DH77" s="3383"/>
      <c r="DI77" s="3384"/>
      <c r="DJ77" s="3385"/>
      <c r="DK77" s="3386"/>
      <c r="DL77" s="3387"/>
      <c r="DM77" s="3388"/>
      <c r="DN77" s="3389"/>
      <c r="DO77" s="3390"/>
      <c r="DP77" s="3391"/>
      <c r="DQ77" s="3392"/>
      <c r="DR77" s="3393"/>
      <c r="DS77" s="3394"/>
      <c r="DT77" s="3395"/>
      <c r="DU77" s="3396"/>
      <c r="DV77" s="3397"/>
      <c r="DW77" s="3398"/>
      <c r="DX77" s="3399"/>
      <c r="DY77" s="3400"/>
      <c r="DZ77" s="3401"/>
      <c r="EA77" s="3402"/>
      <c r="EB77" s="3403"/>
      <c r="EC77" s="3404"/>
      <c r="ED77" s="3405"/>
      <c r="EE77" s="3406"/>
      <c r="EF77" s="3407"/>
      <c r="EG77" s="3408"/>
      <c r="EH77" s="3409"/>
      <c r="EI77" s="3410"/>
      <c r="EJ77" s="3411"/>
      <c r="EK77" s="3412"/>
      <c r="EL77" s="3413"/>
      <c r="EM77" s="14619"/>
      <c r="EN77" s="14620"/>
      <c r="EO77" s="14621"/>
      <c r="EP77" s="14622"/>
      <c r="EQ77" s="14623"/>
      <c r="ER77" s="14624"/>
      <c r="ES77" s="14625"/>
      <c r="ET77" s="14626"/>
      <c r="EU77" s="14627"/>
      <c r="EV77" s="14628"/>
      <c r="EW77" s="14629"/>
      <c r="EX77" s="3414"/>
      <c r="EY77" s="2511" t="s">
        <v>622</v>
      </c>
      <c r="EZ77" s="2199"/>
      <c r="FA77" s="2512"/>
      <c r="FB77" s="2512" t="str">
        <f t="shared" si="1"/>
        <v>Добавить значение признака дифференциации</v>
      </c>
      <c r="FC77" s="2512"/>
      <c r="FD77" s="2512"/>
    </row>
    <row r="78" spans="1:160" s="14630" customFormat="1" ht="21" customHeight="1">
      <c r="A78" s="2502"/>
      <c r="B78" s="2502"/>
      <c r="C78" s="2502"/>
      <c r="D78" s="2502"/>
      <c r="E78" s="16125"/>
      <c r="F78" s="16125" t="s">
        <v>102</v>
      </c>
      <c r="G78" s="16125"/>
      <c r="H78" s="16125"/>
      <c r="I78" s="16122"/>
      <c r="J78" s="2502"/>
      <c r="K78" s="2502"/>
      <c r="L78" s="2503"/>
      <c r="M78" s="2513"/>
      <c r="N78" s="2513"/>
      <c r="O78" s="2513"/>
      <c r="P78" s="16123"/>
      <c r="Q78" s="2514"/>
      <c r="R78" s="2515"/>
      <c r="S78" s="3415"/>
      <c r="T78" s="3416" t="s">
        <v>549</v>
      </c>
      <c r="U78" s="3417"/>
      <c r="V78" s="3418"/>
      <c r="W78" s="3419"/>
      <c r="X78" s="3420"/>
      <c r="Y78" s="3421"/>
      <c r="Z78" s="3422"/>
      <c r="AA78" s="3423"/>
      <c r="AB78" s="3424"/>
      <c r="AC78" s="3425"/>
      <c r="AD78" s="3426"/>
      <c r="AE78" s="3427"/>
      <c r="AF78" s="3428"/>
      <c r="AG78" s="3429"/>
      <c r="AH78" s="3430"/>
      <c r="AI78" s="3431"/>
      <c r="AJ78" s="3432"/>
      <c r="AK78" s="3433"/>
      <c r="AL78" s="3434"/>
      <c r="AM78" s="3435"/>
      <c r="AN78" s="3436"/>
      <c r="AO78" s="3437"/>
      <c r="AP78" s="3438"/>
      <c r="AQ78" s="3439"/>
      <c r="AR78" s="3440"/>
      <c r="AS78" s="3441"/>
      <c r="AT78" s="3442"/>
      <c r="AU78" s="3443"/>
      <c r="AV78" s="3444"/>
      <c r="AW78" s="3445"/>
      <c r="AX78" s="3446"/>
      <c r="AY78" s="3447"/>
      <c r="AZ78" s="3448"/>
      <c r="BA78" s="3449"/>
      <c r="BB78" s="3450"/>
      <c r="BC78" s="3451"/>
      <c r="BD78" s="3452"/>
      <c r="BE78" s="3453"/>
      <c r="BF78" s="3454"/>
      <c r="BG78" s="3455"/>
      <c r="BH78" s="3456"/>
      <c r="BI78" s="3457"/>
      <c r="BJ78" s="3458"/>
      <c r="BK78" s="3459"/>
      <c r="BL78" s="3460"/>
      <c r="BM78" s="3461"/>
      <c r="BN78" s="3462"/>
      <c r="BO78" s="3463"/>
      <c r="BP78" s="3464"/>
      <c r="BQ78" s="3465"/>
      <c r="BR78" s="3466"/>
      <c r="BS78" s="3467"/>
      <c r="BT78" s="3468"/>
      <c r="BU78" s="3469"/>
      <c r="BV78" s="3470"/>
      <c r="BW78" s="3471"/>
      <c r="BX78" s="3472"/>
      <c r="BY78" s="3473"/>
      <c r="BZ78" s="3474"/>
      <c r="CA78" s="3475"/>
      <c r="CB78" s="3476"/>
      <c r="CC78" s="3477"/>
      <c r="CD78" s="3478"/>
      <c r="CE78" s="3479"/>
      <c r="CF78" s="3480"/>
      <c r="CG78" s="3481"/>
      <c r="CH78" s="3482"/>
      <c r="CI78" s="3483"/>
      <c r="CJ78" s="3484"/>
      <c r="CK78" s="3485"/>
      <c r="CL78" s="3486"/>
      <c r="CM78" s="3487"/>
      <c r="CN78" s="3488"/>
      <c r="CO78" s="3489"/>
      <c r="CP78" s="3490"/>
      <c r="CQ78" s="3491"/>
      <c r="CR78" s="3492"/>
      <c r="CS78" s="3493"/>
      <c r="CT78" s="3494"/>
      <c r="CU78" s="3495"/>
      <c r="CV78" s="3496"/>
      <c r="CW78" s="3497"/>
      <c r="CX78" s="3498"/>
      <c r="CY78" s="3499"/>
      <c r="CZ78" s="3500"/>
      <c r="DA78" s="3501"/>
      <c r="DB78" s="3502"/>
      <c r="DC78" s="3503"/>
      <c r="DD78" s="3504"/>
      <c r="DE78" s="3505"/>
      <c r="DF78" s="3506"/>
      <c r="DG78" s="3507"/>
      <c r="DH78" s="3508"/>
      <c r="DI78" s="3509"/>
      <c r="DJ78" s="3510"/>
      <c r="DK78" s="3511"/>
      <c r="DL78" s="3512"/>
      <c r="DM78" s="3513"/>
      <c r="DN78" s="3514"/>
      <c r="DO78" s="3515"/>
      <c r="DP78" s="3516"/>
      <c r="DQ78" s="3517"/>
      <c r="DR78" s="3518"/>
      <c r="DS78" s="3519"/>
      <c r="DT78" s="3520"/>
      <c r="DU78" s="3521"/>
      <c r="DV78" s="3522"/>
      <c r="DW78" s="3523"/>
      <c r="DX78" s="3524"/>
      <c r="DY78" s="3525"/>
      <c r="DZ78" s="3526"/>
      <c r="EA78" s="3527"/>
      <c r="EB78" s="3528"/>
      <c r="EC78" s="3529"/>
      <c r="ED78" s="3530"/>
      <c r="EE78" s="3531"/>
      <c r="EF78" s="3532"/>
      <c r="EG78" s="3533"/>
      <c r="EH78" s="3534"/>
      <c r="EI78" s="3535"/>
      <c r="EJ78" s="3536"/>
      <c r="EK78" s="3537"/>
      <c r="EL78" s="3538"/>
      <c r="EM78" s="14631"/>
      <c r="EN78" s="14632"/>
      <c r="EO78" s="14633"/>
      <c r="EP78" s="14634"/>
      <c r="EQ78" s="14635"/>
      <c r="ER78" s="14636"/>
      <c r="ES78" s="14637"/>
      <c r="ET78" s="14638"/>
      <c r="EU78" s="14639"/>
      <c r="EV78" s="14640"/>
      <c r="EW78" s="14641"/>
      <c r="EX78" s="3539"/>
      <c r="EY78" s="3540"/>
      <c r="EZ78" s="2199"/>
      <c r="FA78" s="2512"/>
      <c r="FB78" s="2512" t="str">
        <f t="shared" si="1"/>
        <v>Добавить группу потребителей</v>
      </c>
      <c r="FC78" s="2512"/>
      <c r="FD78" s="2512"/>
    </row>
    <row r="79" spans="1:160" s="14642" customFormat="1" ht="21" customHeight="1">
      <c r="A79" s="2502"/>
      <c r="B79" s="2502"/>
      <c r="C79" s="2502"/>
      <c r="D79" s="2502"/>
      <c r="E79" s="16125"/>
      <c r="F79" s="16125" t="s">
        <v>102</v>
      </c>
      <c r="G79" s="16125"/>
      <c r="H79" s="16124"/>
      <c r="I79" s="2502"/>
      <c r="J79" s="2502"/>
      <c r="K79" s="2502"/>
      <c r="L79" s="2503"/>
      <c r="M79" s="2504"/>
      <c r="N79" s="2504"/>
      <c r="O79" s="2193"/>
      <c r="P79" s="2775"/>
      <c r="Q79" s="2776"/>
      <c r="R79" s="2777"/>
      <c r="S79" s="3541"/>
      <c r="T79" s="3542" t="s">
        <v>623</v>
      </c>
      <c r="U79" s="3543"/>
      <c r="V79" s="3544"/>
      <c r="W79" s="3545"/>
      <c r="X79" s="3546"/>
      <c r="Y79" s="3547"/>
      <c r="Z79" s="3548"/>
      <c r="AA79" s="3549"/>
      <c r="AB79" s="3550"/>
      <c r="AC79" s="3551"/>
      <c r="AD79" s="3552"/>
      <c r="AE79" s="3553"/>
      <c r="AF79" s="3554"/>
      <c r="AG79" s="3555"/>
      <c r="AH79" s="3556"/>
      <c r="AI79" s="3557"/>
      <c r="AJ79" s="3558"/>
      <c r="AK79" s="3559"/>
      <c r="AL79" s="3560"/>
      <c r="AM79" s="3561"/>
      <c r="AN79" s="3562"/>
      <c r="AO79" s="3563"/>
      <c r="AP79" s="3564"/>
      <c r="AQ79" s="3565"/>
      <c r="AR79" s="3566"/>
      <c r="AS79" s="3567"/>
      <c r="AT79" s="3568"/>
      <c r="AU79" s="3569"/>
      <c r="AV79" s="3570"/>
      <c r="AW79" s="3571"/>
      <c r="AX79" s="3572"/>
      <c r="AY79" s="3573"/>
      <c r="AZ79" s="3574"/>
      <c r="BA79" s="3575"/>
      <c r="BB79" s="3576"/>
      <c r="BC79" s="3577"/>
      <c r="BD79" s="3578"/>
      <c r="BE79" s="3579"/>
      <c r="BF79" s="3580"/>
      <c r="BG79" s="3581"/>
      <c r="BH79" s="3582"/>
      <c r="BI79" s="3583"/>
      <c r="BJ79" s="3584"/>
      <c r="BK79" s="3585"/>
      <c r="BL79" s="3586"/>
      <c r="BM79" s="3587"/>
      <c r="BN79" s="3588"/>
      <c r="BO79" s="3589"/>
      <c r="BP79" s="3590"/>
      <c r="BQ79" s="3591"/>
      <c r="BR79" s="3592"/>
      <c r="BS79" s="3593"/>
      <c r="BT79" s="3594"/>
      <c r="BU79" s="3595"/>
      <c r="BV79" s="3596"/>
      <c r="BW79" s="3597"/>
      <c r="BX79" s="3598"/>
      <c r="BY79" s="3599"/>
      <c r="BZ79" s="3600"/>
      <c r="CA79" s="3601"/>
      <c r="CB79" s="3602"/>
      <c r="CC79" s="3603"/>
      <c r="CD79" s="3604"/>
      <c r="CE79" s="3605"/>
      <c r="CF79" s="3606"/>
      <c r="CG79" s="3607"/>
      <c r="CH79" s="3608"/>
      <c r="CI79" s="3609"/>
      <c r="CJ79" s="3610"/>
      <c r="CK79" s="3611"/>
      <c r="CL79" s="3612"/>
      <c r="CM79" s="3613"/>
      <c r="CN79" s="3614"/>
      <c r="CO79" s="3615"/>
      <c r="CP79" s="3616"/>
      <c r="CQ79" s="3617"/>
      <c r="CR79" s="3618"/>
      <c r="CS79" s="3619"/>
      <c r="CT79" s="3620"/>
      <c r="CU79" s="3621"/>
      <c r="CV79" s="3622"/>
      <c r="CW79" s="3623"/>
      <c r="CX79" s="3624"/>
      <c r="CY79" s="3625"/>
      <c r="CZ79" s="3626"/>
      <c r="DA79" s="3627"/>
      <c r="DB79" s="3628"/>
      <c r="DC79" s="3629"/>
      <c r="DD79" s="3630"/>
      <c r="DE79" s="3631"/>
      <c r="DF79" s="3632"/>
      <c r="DG79" s="3633"/>
      <c r="DH79" s="3634"/>
      <c r="DI79" s="3635"/>
      <c r="DJ79" s="3636"/>
      <c r="DK79" s="3637"/>
      <c r="DL79" s="3638"/>
      <c r="DM79" s="3639"/>
      <c r="DN79" s="3640"/>
      <c r="DO79" s="3641"/>
      <c r="DP79" s="3642"/>
      <c r="DQ79" s="3643"/>
      <c r="DR79" s="3644"/>
      <c r="DS79" s="3645"/>
      <c r="DT79" s="3646"/>
      <c r="DU79" s="3647"/>
      <c r="DV79" s="3648"/>
      <c r="DW79" s="3649"/>
      <c r="DX79" s="3650"/>
      <c r="DY79" s="3651"/>
      <c r="DZ79" s="3652"/>
      <c r="EA79" s="3653"/>
      <c r="EB79" s="3654"/>
      <c r="EC79" s="3655"/>
      <c r="ED79" s="3656"/>
      <c r="EE79" s="3657"/>
      <c r="EF79" s="3658"/>
      <c r="EG79" s="3659"/>
      <c r="EH79" s="3660"/>
      <c r="EI79" s="3661"/>
      <c r="EJ79" s="3662"/>
      <c r="EK79" s="3663"/>
      <c r="EL79" s="3664"/>
      <c r="EM79" s="14643"/>
      <c r="EN79" s="14644"/>
      <c r="EO79" s="14645"/>
      <c r="EP79" s="14646"/>
      <c r="EQ79" s="14647"/>
      <c r="ER79" s="14648"/>
      <c r="ES79" s="14649"/>
      <c r="ET79" s="14650"/>
      <c r="EU79" s="14651"/>
      <c r="EV79" s="14652"/>
      <c r="EW79" s="14653"/>
      <c r="EX79" s="3665"/>
      <c r="EY79" s="3666"/>
      <c r="EZ79" s="2199"/>
      <c r="FA79" s="2512"/>
      <c r="FB79" s="2512" t="str">
        <f t="shared" si="1"/>
        <v>Добавить наименование признака дифференциации</v>
      </c>
      <c r="FC79" s="2512"/>
      <c r="FD79" s="2512"/>
    </row>
    <row r="80" spans="1:160" s="14654" customFormat="1" ht="14.25" customHeight="1">
      <c r="A80" s="3283"/>
      <c r="B80" s="3283"/>
      <c r="C80" s="3283"/>
      <c r="D80" s="3283"/>
      <c r="E80" s="16125"/>
      <c r="F80" s="16124" t="s">
        <v>102</v>
      </c>
      <c r="G80" s="3283"/>
      <c r="H80" s="3283"/>
      <c r="I80" s="3283"/>
      <c r="J80" s="3283"/>
      <c r="K80" s="3283"/>
      <c r="L80" s="3284"/>
      <c r="M80" s="3285"/>
      <c r="N80" s="3285"/>
      <c r="O80" s="2199"/>
      <c r="P80" s="3286"/>
      <c r="Q80" s="3287"/>
      <c r="R80" s="3286"/>
      <c r="S80" s="3288"/>
      <c r="T80" s="3289" t="s">
        <v>290</v>
      </c>
      <c r="U80" s="2192"/>
      <c r="V80" s="2192"/>
      <c r="W80" s="2192"/>
      <c r="X80" s="2192"/>
      <c r="Y80" s="2192"/>
      <c r="Z80" s="2192"/>
      <c r="AA80" s="2192"/>
      <c r="AB80" s="2192"/>
      <c r="AC80" s="2192"/>
      <c r="AD80" s="2192"/>
      <c r="AE80" s="2192"/>
      <c r="AF80" s="2192"/>
      <c r="AG80" s="2192"/>
      <c r="AH80" s="2192"/>
      <c r="AI80" s="2192"/>
      <c r="AJ80" s="2192"/>
      <c r="AK80" s="2192"/>
      <c r="AL80" s="2192"/>
      <c r="AM80" s="2192"/>
      <c r="AN80" s="2192"/>
      <c r="AO80" s="2192"/>
      <c r="AP80" s="2192"/>
      <c r="AQ80" s="2192"/>
      <c r="AR80" s="2192"/>
      <c r="AS80" s="2192"/>
      <c r="AT80" s="2192"/>
      <c r="AU80" s="2192"/>
      <c r="AV80" s="2192"/>
      <c r="AW80" s="2192"/>
      <c r="AX80" s="2192"/>
      <c r="AY80" s="2192"/>
      <c r="AZ80" s="2192"/>
      <c r="BA80" s="2192"/>
      <c r="BB80" s="2192"/>
      <c r="BC80" s="2192"/>
      <c r="BD80" s="2192"/>
      <c r="BE80" s="2192"/>
      <c r="BF80" s="2192"/>
      <c r="BG80" s="2192"/>
      <c r="BH80" s="2192"/>
      <c r="BI80" s="2192"/>
      <c r="BJ80" s="2192"/>
      <c r="BK80" s="2192"/>
      <c r="BL80" s="2192"/>
      <c r="BM80" s="2192"/>
      <c r="BN80" s="2192"/>
      <c r="BO80" s="2192"/>
      <c r="BP80" s="2192"/>
      <c r="BQ80" s="2192"/>
      <c r="BR80" s="2192"/>
      <c r="BS80" s="2192"/>
      <c r="BT80" s="2192"/>
      <c r="BU80" s="2192"/>
      <c r="BV80" s="2192"/>
      <c r="BW80" s="2192"/>
      <c r="BX80" s="2192"/>
      <c r="BY80" s="2192"/>
      <c r="BZ80" s="2192"/>
      <c r="CA80" s="2192"/>
      <c r="CB80" s="2192"/>
      <c r="CC80" s="2192"/>
      <c r="CD80" s="2192"/>
      <c r="CE80" s="2192"/>
      <c r="CF80" s="2192"/>
      <c r="CG80" s="2192"/>
      <c r="CH80" s="2192"/>
      <c r="CI80" s="2192"/>
      <c r="CJ80" s="2192"/>
      <c r="CK80" s="2192"/>
      <c r="CL80" s="2192"/>
      <c r="CM80" s="2192"/>
      <c r="CN80" s="2192"/>
      <c r="CO80" s="2192"/>
      <c r="CP80" s="2192"/>
      <c r="CQ80" s="2192"/>
      <c r="CR80" s="2192"/>
      <c r="CS80" s="2192"/>
      <c r="CT80" s="2192"/>
      <c r="CU80" s="2192"/>
      <c r="CV80" s="2192"/>
      <c r="CW80" s="2192"/>
      <c r="CX80" s="2192"/>
      <c r="CY80" s="2192"/>
      <c r="CZ80" s="2192"/>
      <c r="DA80" s="2192"/>
      <c r="DB80" s="2192"/>
      <c r="DC80" s="2192"/>
      <c r="DD80" s="2192"/>
      <c r="DE80" s="2192"/>
      <c r="DF80" s="2192"/>
      <c r="DG80" s="2192"/>
      <c r="DH80" s="2192"/>
      <c r="DI80" s="2192"/>
      <c r="DJ80" s="2192"/>
      <c r="DK80" s="2192"/>
      <c r="DL80" s="2192"/>
      <c r="DM80" s="2192"/>
      <c r="DN80" s="2192"/>
      <c r="DO80" s="2192"/>
      <c r="DP80" s="2192"/>
      <c r="DQ80" s="2192"/>
      <c r="DR80" s="2192"/>
      <c r="DS80" s="2192"/>
      <c r="DT80" s="2192"/>
      <c r="DU80" s="2192"/>
      <c r="DV80" s="2192"/>
      <c r="DW80" s="2192"/>
      <c r="DX80" s="2192"/>
      <c r="DY80" s="2192"/>
      <c r="DZ80" s="2192"/>
      <c r="EA80" s="2192"/>
      <c r="EB80" s="2192"/>
      <c r="EC80" s="2192"/>
      <c r="ED80" s="2192"/>
      <c r="EE80" s="2192"/>
      <c r="EF80" s="2192"/>
      <c r="EG80" s="2192"/>
      <c r="EH80" s="2192"/>
      <c r="EI80" s="2192"/>
      <c r="EJ80" s="2192"/>
      <c r="EK80" s="2192"/>
      <c r="EL80" s="2192"/>
      <c r="EM80" s="14483"/>
      <c r="EN80" s="14483"/>
      <c r="EO80" s="14483"/>
      <c r="EP80" s="14483"/>
      <c r="EQ80" s="14483"/>
      <c r="ER80" s="14483"/>
      <c r="ES80" s="14483"/>
      <c r="ET80" s="14483"/>
      <c r="EU80" s="14483"/>
      <c r="EV80" s="14483"/>
      <c r="EW80" s="14483"/>
      <c r="EX80" s="2192"/>
      <c r="EY80" s="2192"/>
      <c r="EZ80" s="2199"/>
      <c r="FA80" s="2512"/>
      <c r="FB80" s="2512" t="str">
        <f t="shared" si="1"/>
        <v>Добавить централизованную систему для дифференциации</v>
      </c>
      <c r="FC80" s="2512"/>
      <c r="FD80" s="2512"/>
    </row>
    <row r="81" spans="1:160" s="14655" customFormat="1" ht="23.25" customHeight="1">
      <c r="A81" s="2502"/>
      <c r="B81" s="2502" t="s">
        <v>298</v>
      </c>
      <c r="C81" s="2502"/>
      <c r="D81" s="2502"/>
      <c r="E81" s="16125"/>
      <c r="F81" s="16124" t="s">
        <v>90</v>
      </c>
      <c r="G81" s="2502"/>
      <c r="H81" s="2502"/>
      <c r="I81" s="2502"/>
      <c r="J81" s="2502"/>
      <c r="K81" s="2502"/>
      <c r="L81" s="2503"/>
      <c r="M81" s="2504"/>
      <c r="N81" s="2504"/>
      <c r="O81" s="2504"/>
      <c r="P81" s="2904"/>
      <c r="Q81" s="2506"/>
      <c r="R81" s="2507"/>
      <c r="S81" s="2508" t="str">
        <f>INDEX(PT_DIFFERENTIATION_NUM_TER,MATCH(B81,PT_DIFFERENTIATION_TER_ID,0))</f>
        <v>1.4</v>
      </c>
      <c r="T81" s="2905" t="s">
        <v>534</v>
      </c>
      <c r="U81" s="2510"/>
      <c r="V81" s="16110"/>
      <c r="W81" s="16111"/>
      <c r="X81" s="16111"/>
      <c r="Y81" s="16111"/>
      <c r="Z81" s="16111"/>
      <c r="AA81" s="16111"/>
      <c r="AB81" s="16111"/>
      <c r="AC81" s="16111"/>
      <c r="AD81" s="16111"/>
      <c r="AE81" s="16111"/>
      <c r="AF81" s="16112"/>
      <c r="AG81" s="16110" t="str">
        <f>INDEX(PT_DIFFERENTIATION_TER,MATCH(B81,PT_DIFFERENTIATION_TER_ID,0))</f>
        <v>Территория 4</v>
      </c>
      <c r="AH81" s="16111"/>
      <c r="AI81" s="16111"/>
      <c r="AJ81" s="16111"/>
      <c r="AK81" s="16111"/>
      <c r="AL81" s="16111"/>
      <c r="AM81" s="16111"/>
      <c r="AN81" s="16111"/>
      <c r="AO81" s="16111"/>
      <c r="AP81" s="16111"/>
      <c r="AQ81" s="16111"/>
      <c r="AR81" s="16110"/>
      <c r="AS81" s="16111"/>
      <c r="AT81" s="16111"/>
      <c r="AU81" s="16111"/>
      <c r="AV81" s="16111"/>
      <c r="AW81" s="16111"/>
      <c r="AX81" s="16111"/>
      <c r="AY81" s="16111"/>
      <c r="AZ81" s="16111"/>
      <c r="BA81" s="16111"/>
      <c r="BB81" s="16112"/>
      <c r="BC81" s="16110"/>
      <c r="BD81" s="16111"/>
      <c r="BE81" s="16111"/>
      <c r="BF81" s="16111"/>
      <c r="BG81" s="16111"/>
      <c r="BH81" s="16111"/>
      <c r="BI81" s="16111"/>
      <c r="BJ81" s="16111"/>
      <c r="BK81" s="16111"/>
      <c r="BL81" s="16111"/>
      <c r="BM81" s="16112"/>
      <c r="BN81" s="16110"/>
      <c r="BO81" s="16111"/>
      <c r="BP81" s="16111"/>
      <c r="BQ81" s="16111"/>
      <c r="BR81" s="16111"/>
      <c r="BS81" s="16111"/>
      <c r="BT81" s="16111"/>
      <c r="BU81" s="16111"/>
      <c r="BV81" s="16111"/>
      <c r="BW81" s="16111"/>
      <c r="BX81" s="16112"/>
      <c r="BY81" s="16110"/>
      <c r="BZ81" s="16111"/>
      <c r="CA81" s="16111"/>
      <c r="CB81" s="16111"/>
      <c r="CC81" s="16111"/>
      <c r="CD81" s="16111"/>
      <c r="CE81" s="16111"/>
      <c r="CF81" s="16111"/>
      <c r="CG81" s="16111"/>
      <c r="CH81" s="16111"/>
      <c r="CI81" s="16112"/>
      <c r="CJ81" s="16110"/>
      <c r="CK81" s="16111"/>
      <c r="CL81" s="16111"/>
      <c r="CM81" s="16111"/>
      <c r="CN81" s="16111"/>
      <c r="CO81" s="16111"/>
      <c r="CP81" s="16111"/>
      <c r="CQ81" s="16111"/>
      <c r="CR81" s="16111"/>
      <c r="CS81" s="16111"/>
      <c r="CT81" s="16112"/>
      <c r="CU81" s="16110"/>
      <c r="CV81" s="16111"/>
      <c r="CW81" s="16111"/>
      <c r="CX81" s="16111"/>
      <c r="CY81" s="16111"/>
      <c r="CZ81" s="16111"/>
      <c r="DA81" s="16111"/>
      <c r="DB81" s="16111"/>
      <c r="DC81" s="16111"/>
      <c r="DD81" s="16111"/>
      <c r="DE81" s="16112"/>
      <c r="DF81" s="16110"/>
      <c r="DG81" s="16111"/>
      <c r="DH81" s="16111"/>
      <c r="DI81" s="16111"/>
      <c r="DJ81" s="16111"/>
      <c r="DK81" s="16111"/>
      <c r="DL81" s="16111"/>
      <c r="DM81" s="16111"/>
      <c r="DN81" s="16111"/>
      <c r="DO81" s="16111"/>
      <c r="DP81" s="16112"/>
      <c r="DQ81" s="16110"/>
      <c r="DR81" s="16111"/>
      <c r="DS81" s="16111"/>
      <c r="DT81" s="16111"/>
      <c r="DU81" s="16111"/>
      <c r="DV81" s="16111"/>
      <c r="DW81" s="16111"/>
      <c r="DX81" s="16111"/>
      <c r="DY81" s="16111"/>
      <c r="DZ81" s="16111"/>
      <c r="EA81" s="16112"/>
      <c r="EB81" s="16110"/>
      <c r="EC81" s="16111"/>
      <c r="ED81" s="16111"/>
      <c r="EE81" s="16111"/>
      <c r="EF81" s="16111"/>
      <c r="EG81" s="16111"/>
      <c r="EH81" s="16111"/>
      <c r="EI81" s="16111"/>
      <c r="EJ81" s="16111"/>
      <c r="EK81" s="16111"/>
      <c r="EL81" s="16112"/>
      <c r="EM81" s="16110"/>
      <c r="EN81" s="16111"/>
      <c r="EO81" s="16111"/>
      <c r="EP81" s="16111"/>
      <c r="EQ81" s="16111"/>
      <c r="ER81" s="16111"/>
      <c r="ES81" s="16111"/>
      <c r="ET81" s="16111"/>
      <c r="EU81" s="16111"/>
      <c r="EV81" s="16111"/>
      <c r="EW81" s="16112"/>
      <c r="EX81" s="16112"/>
      <c r="EY81" s="2511" t="s">
        <v>535</v>
      </c>
      <c r="EZ81" s="2199"/>
      <c r="FA81" s="2512"/>
      <c r="FB81" s="2512" t="str">
        <f t="shared" si="1"/>
        <v>Территория действия тарифа</v>
      </c>
      <c r="FC81" s="2512"/>
      <c r="FD81" s="2512"/>
    </row>
    <row r="82" spans="1:160" s="14656" customFormat="1" ht="23.25" customHeight="1">
      <c r="A82" s="2502"/>
      <c r="B82" s="2502"/>
      <c r="C82" s="2502" t="s">
        <v>299</v>
      </c>
      <c r="D82" s="2502"/>
      <c r="E82" s="16125"/>
      <c r="F82" s="16125" t="s">
        <v>89</v>
      </c>
      <c r="G82" s="16124">
        <v>1</v>
      </c>
      <c r="H82" s="2502"/>
      <c r="I82" s="2502"/>
      <c r="J82" s="2502"/>
      <c r="K82" s="2502"/>
      <c r="L82" s="2503"/>
      <c r="M82" s="2504"/>
      <c r="N82" s="2504"/>
      <c r="O82" s="2504"/>
      <c r="P82" s="2505"/>
      <c r="Q82" s="2506"/>
      <c r="R82" s="2507"/>
      <c r="S82" s="2508" t="str">
        <f>INDEX(PT_DIFFERENTIATION_NUM_CS,MATCH(C82,PT_DIFFERENTIATION_CS_ID,0))</f>
        <v>1.4.1</v>
      </c>
      <c r="T82" s="2509" t="s">
        <v>665</v>
      </c>
      <c r="U82" s="2510"/>
      <c r="V82" s="16110"/>
      <c r="W82" s="16111"/>
      <c r="X82" s="16111"/>
      <c r="Y82" s="16111"/>
      <c r="Z82" s="16111"/>
      <c r="AA82" s="16111"/>
      <c r="AB82" s="16111"/>
      <c r="AC82" s="16111"/>
      <c r="AD82" s="16111"/>
      <c r="AE82" s="16111"/>
      <c r="AF82" s="16112"/>
      <c r="AG82" s="16110" t="str">
        <f>INDEX(PT_DIFFERENTIATION_CS,MATCH(C82,PT_DIFFERENTIATION_CS_ID,0))</f>
        <v>без дифференциации</v>
      </c>
      <c r="AH82" s="16111"/>
      <c r="AI82" s="16111"/>
      <c r="AJ82" s="16111"/>
      <c r="AK82" s="16111"/>
      <c r="AL82" s="16111"/>
      <c r="AM82" s="16111"/>
      <c r="AN82" s="16111"/>
      <c r="AO82" s="16111"/>
      <c r="AP82" s="16111"/>
      <c r="AQ82" s="16111"/>
      <c r="AR82" s="16110"/>
      <c r="AS82" s="16111"/>
      <c r="AT82" s="16111"/>
      <c r="AU82" s="16111"/>
      <c r="AV82" s="16111"/>
      <c r="AW82" s="16111"/>
      <c r="AX82" s="16111"/>
      <c r="AY82" s="16111"/>
      <c r="AZ82" s="16111"/>
      <c r="BA82" s="16111"/>
      <c r="BB82" s="16112"/>
      <c r="BC82" s="16110"/>
      <c r="BD82" s="16111"/>
      <c r="BE82" s="16111"/>
      <c r="BF82" s="16111"/>
      <c r="BG82" s="16111"/>
      <c r="BH82" s="16111"/>
      <c r="BI82" s="16111"/>
      <c r="BJ82" s="16111"/>
      <c r="BK82" s="16111"/>
      <c r="BL82" s="16111"/>
      <c r="BM82" s="16112"/>
      <c r="BN82" s="16110"/>
      <c r="BO82" s="16111"/>
      <c r="BP82" s="16111"/>
      <c r="BQ82" s="16111"/>
      <c r="BR82" s="16111"/>
      <c r="BS82" s="16111"/>
      <c r="BT82" s="16111"/>
      <c r="BU82" s="16111"/>
      <c r="BV82" s="16111"/>
      <c r="BW82" s="16111"/>
      <c r="BX82" s="16112"/>
      <c r="BY82" s="16110"/>
      <c r="BZ82" s="16111"/>
      <c r="CA82" s="16111"/>
      <c r="CB82" s="16111"/>
      <c r="CC82" s="16111"/>
      <c r="CD82" s="16111"/>
      <c r="CE82" s="16111"/>
      <c r="CF82" s="16111"/>
      <c r="CG82" s="16111"/>
      <c r="CH82" s="16111"/>
      <c r="CI82" s="16112"/>
      <c r="CJ82" s="16110"/>
      <c r="CK82" s="16111"/>
      <c r="CL82" s="16111"/>
      <c r="CM82" s="16111"/>
      <c r="CN82" s="16111"/>
      <c r="CO82" s="16111"/>
      <c r="CP82" s="16111"/>
      <c r="CQ82" s="16111"/>
      <c r="CR82" s="16111"/>
      <c r="CS82" s="16111"/>
      <c r="CT82" s="16112"/>
      <c r="CU82" s="16110"/>
      <c r="CV82" s="16111"/>
      <c r="CW82" s="16111"/>
      <c r="CX82" s="16111"/>
      <c r="CY82" s="16111"/>
      <c r="CZ82" s="16111"/>
      <c r="DA82" s="16111"/>
      <c r="DB82" s="16111"/>
      <c r="DC82" s="16111"/>
      <c r="DD82" s="16111"/>
      <c r="DE82" s="16112"/>
      <c r="DF82" s="16110"/>
      <c r="DG82" s="16111"/>
      <c r="DH82" s="16111"/>
      <c r="DI82" s="16111"/>
      <c r="DJ82" s="16111"/>
      <c r="DK82" s="16111"/>
      <c r="DL82" s="16111"/>
      <c r="DM82" s="16111"/>
      <c r="DN82" s="16111"/>
      <c r="DO82" s="16111"/>
      <c r="DP82" s="16112"/>
      <c r="DQ82" s="16110"/>
      <c r="DR82" s="16111"/>
      <c r="DS82" s="16111"/>
      <c r="DT82" s="16111"/>
      <c r="DU82" s="16111"/>
      <c r="DV82" s="16111"/>
      <c r="DW82" s="16111"/>
      <c r="DX82" s="16111"/>
      <c r="DY82" s="16111"/>
      <c r="DZ82" s="16111"/>
      <c r="EA82" s="16112"/>
      <c r="EB82" s="16110"/>
      <c r="EC82" s="16111"/>
      <c r="ED82" s="16111"/>
      <c r="EE82" s="16111"/>
      <c r="EF82" s="16111"/>
      <c r="EG82" s="16111"/>
      <c r="EH82" s="16111"/>
      <c r="EI82" s="16111"/>
      <c r="EJ82" s="16111"/>
      <c r="EK82" s="16111"/>
      <c r="EL82" s="16112"/>
      <c r="EM82" s="16110"/>
      <c r="EN82" s="16111"/>
      <c r="EO82" s="16111"/>
      <c r="EP82" s="16111"/>
      <c r="EQ82" s="16111"/>
      <c r="ER82" s="16111"/>
      <c r="ES82" s="16111"/>
      <c r="ET82" s="16111"/>
      <c r="EU82" s="16111"/>
      <c r="EV82" s="16111"/>
      <c r="EW82" s="16112"/>
      <c r="EX82" s="16112"/>
      <c r="EY82" s="2511" t="s">
        <v>666</v>
      </c>
      <c r="EZ82" s="2199"/>
      <c r="FA82" s="2512"/>
      <c r="FB82" s="2512" t="str">
        <f t="shared" si="1"/>
        <v>Наименование централизованной системы горячего водоснабжения</v>
      </c>
      <c r="FC82" s="2512"/>
      <c r="FD82" s="2512"/>
    </row>
    <row r="83" spans="1:160" s="14657" customFormat="1" ht="23.25" customHeight="1">
      <c r="A83" s="2502"/>
      <c r="B83" s="2502"/>
      <c r="C83" s="2502"/>
      <c r="D83" s="2502"/>
      <c r="E83" s="16125"/>
      <c r="F83" s="16125" t="s">
        <v>89</v>
      </c>
      <c r="G83" s="16125"/>
      <c r="H83" s="16125"/>
      <c r="I83" s="16122" t="str">
        <f>S82&amp;".1"</f>
        <v>1.4.1.1</v>
      </c>
      <c r="J83" s="2502"/>
      <c r="K83" s="2502"/>
      <c r="L83" s="2503"/>
      <c r="M83" s="2513"/>
      <c r="N83" s="2513"/>
      <c r="O83" s="2513"/>
      <c r="P83" s="16123">
        <v>1</v>
      </c>
      <c r="Q83" s="2514"/>
      <c r="R83" s="2515"/>
      <c r="S83" s="2508" t="str">
        <f>$I83</f>
        <v>1.4.1.1</v>
      </c>
      <c r="T83" s="2516" t="s">
        <v>618</v>
      </c>
      <c r="U83" s="2510"/>
      <c r="V83" s="16183"/>
      <c r="W83" s="16184"/>
      <c r="X83" s="16184"/>
      <c r="Y83" s="16184"/>
      <c r="Z83" s="16184"/>
      <c r="AA83" s="16184"/>
      <c r="AB83" s="16184"/>
      <c r="AC83" s="16184"/>
      <c r="AD83" s="16184"/>
      <c r="AE83" s="16184"/>
      <c r="AF83" s="16185"/>
      <c r="AG83" s="16186"/>
      <c r="AH83" s="16187"/>
      <c r="AI83" s="16187"/>
      <c r="AJ83" s="16187"/>
      <c r="AK83" s="16187"/>
      <c r="AL83" s="16187"/>
      <c r="AM83" s="16187"/>
      <c r="AN83" s="16187"/>
      <c r="AO83" s="16187"/>
      <c r="AP83" s="16187"/>
      <c r="AQ83" s="16187"/>
      <c r="AR83" s="16183"/>
      <c r="AS83" s="16184"/>
      <c r="AT83" s="16184"/>
      <c r="AU83" s="16184"/>
      <c r="AV83" s="16184"/>
      <c r="AW83" s="16184"/>
      <c r="AX83" s="16184"/>
      <c r="AY83" s="16184"/>
      <c r="AZ83" s="16184"/>
      <c r="BA83" s="16184"/>
      <c r="BB83" s="16185"/>
      <c r="BC83" s="16183"/>
      <c r="BD83" s="16184"/>
      <c r="BE83" s="16184"/>
      <c r="BF83" s="16184"/>
      <c r="BG83" s="16184"/>
      <c r="BH83" s="16184"/>
      <c r="BI83" s="16184"/>
      <c r="BJ83" s="16184"/>
      <c r="BK83" s="16184"/>
      <c r="BL83" s="16184"/>
      <c r="BM83" s="16185"/>
      <c r="BN83" s="16183"/>
      <c r="BO83" s="16184"/>
      <c r="BP83" s="16184"/>
      <c r="BQ83" s="16184"/>
      <c r="BR83" s="16184"/>
      <c r="BS83" s="16184"/>
      <c r="BT83" s="16184"/>
      <c r="BU83" s="16184"/>
      <c r="BV83" s="16184"/>
      <c r="BW83" s="16184"/>
      <c r="BX83" s="16185"/>
      <c r="BY83" s="16183"/>
      <c r="BZ83" s="16184"/>
      <c r="CA83" s="16184"/>
      <c r="CB83" s="16184"/>
      <c r="CC83" s="16184"/>
      <c r="CD83" s="16184"/>
      <c r="CE83" s="16184"/>
      <c r="CF83" s="16184"/>
      <c r="CG83" s="16184"/>
      <c r="CH83" s="16184"/>
      <c r="CI83" s="16185"/>
      <c r="CJ83" s="16183"/>
      <c r="CK83" s="16184"/>
      <c r="CL83" s="16184"/>
      <c r="CM83" s="16184"/>
      <c r="CN83" s="16184"/>
      <c r="CO83" s="16184"/>
      <c r="CP83" s="16184"/>
      <c r="CQ83" s="16184"/>
      <c r="CR83" s="16184"/>
      <c r="CS83" s="16184"/>
      <c r="CT83" s="16185"/>
      <c r="CU83" s="16183"/>
      <c r="CV83" s="16184"/>
      <c r="CW83" s="16184"/>
      <c r="CX83" s="16184"/>
      <c r="CY83" s="16184"/>
      <c r="CZ83" s="16184"/>
      <c r="DA83" s="16184"/>
      <c r="DB83" s="16184"/>
      <c r="DC83" s="16184"/>
      <c r="DD83" s="16184"/>
      <c r="DE83" s="16185"/>
      <c r="DF83" s="16183"/>
      <c r="DG83" s="16184"/>
      <c r="DH83" s="16184"/>
      <c r="DI83" s="16184"/>
      <c r="DJ83" s="16184"/>
      <c r="DK83" s="16184"/>
      <c r="DL83" s="16184"/>
      <c r="DM83" s="16184"/>
      <c r="DN83" s="16184"/>
      <c r="DO83" s="16184"/>
      <c r="DP83" s="16185"/>
      <c r="DQ83" s="16183"/>
      <c r="DR83" s="16184"/>
      <c r="DS83" s="16184"/>
      <c r="DT83" s="16184"/>
      <c r="DU83" s="16184"/>
      <c r="DV83" s="16184"/>
      <c r="DW83" s="16184"/>
      <c r="DX83" s="16184"/>
      <c r="DY83" s="16184"/>
      <c r="DZ83" s="16184"/>
      <c r="EA83" s="16185"/>
      <c r="EB83" s="16183"/>
      <c r="EC83" s="16184"/>
      <c r="ED83" s="16184"/>
      <c r="EE83" s="16184"/>
      <c r="EF83" s="16184"/>
      <c r="EG83" s="16184"/>
      <c r="EH83" s="16184"/>
      <c r="EI83" s="16184"/>
      <c r="EJ83" s="16184"/>
      <c r="EK83" s="16184"/>
      <c r="EL83" s="16185"/>
      <c r="EM83" s="16183"/>
      <c r="EN83" s="16184"/>
      <c r="EO83" s="16184"/>
      <c r="EP83" s="16184"/>
      <c r="EQ83" s="16184"/>
      <c r="ER83" s="16184"/>
      <c r="ES83" s="16184"/>
      <c r="ET83" s="16184"/>
      <c r="EU83" s="16184"/>
      <c r="EV83" s="16184"/>
      <c r="EW83" s="16185"/>
      <c r="EX83" s="16188"/>
      <c r="EY83" s="2511" t="s">
        <v>619</v>
      </c>
      <c r="EZ83" s="2199"/>
      <c r="FA83" s="2512"/>
      <c r="FB83" s="2512" t="str">
        <f t="shared" si="1"/>
        <v>Наименование признака дифференциации</v>
      </c>
      <c r="FC83" s="2512"/>
      <c r="FD83" s="2512"/>
    </row>
    <row r="84" spans="1:160" s="14658" customFormat="1" ht="23.25" customHeight="1">
      <c r="A84" s="2502"/>
      <c r="B84" s="2502"/>
      <c r="C84" s="2502"/>
      <c r="D84" s="2502"/>
      <c r="E84" s="16125"/>
      <c r="F84" s="16125" t="s">
        <v>89</v>
      </c>
      <c r="G84" s="16125"/>
      <c r="H84" s="16125"/>
      <c r="I84" s="16145"/>
      <c r="J84" s="16122" t="str">
        <f>I83&amp;".1"</f>
        <v>1.4.1.1.1</v>
      </c>
      <c r="K84" s="2502"/>
      <c r="L84" s="2503" t="s">
        <v>543</v>
      </c>
      <c r="M84" s="2513"/>
      <c r="N84" s="2513"/>
      <c r="O84" s="2513"/>
      <c r="P84" s="16123"/>
      <c r="Q84" s="16123">
        <v>1</v>
      </c>
      <c r="R84" s="2517"/>
      <c r="S84" s="2508" t="str">
        <f>$J84</f>
        <v>1.4.1.1.1</v>
      </c>
      <c r="T84" s="2518" t="s">
        <v>544</v>
      </c>
      <c r="U84" s="2510"/>
      <c r="V84" s="16113"/>
      <c r="W84" s="16114"/>
      <c r="X84" s="16114"/>
      <c r="Y84" s="16114"/>
      <c r="Z84" s="16114"/>
      <c r="AA84" s="16114"/>
      <c r="AB84" s="16114"/>
      <c r="AC84" s="16114"/>
      <c r="AD84" s="16114"/>
      <c r="AE84" s="16114"/>
      <c r="AF84" s="16115"/>
      <c r="AG84" s="16113" t="s">
        <v>678</v>
      </c>
      <c r="AH84" s="16114"/>
      <c r="AI84" s="16114"/>
      <c r="AJ84" s="16114"/>
      <c r="AK84" s="16114"/>
      <c r="AL84" s="16114"/>
      <c r="AM84" s="16114"/>
      <c r="AN84" s="16114"/>
      <c r="AO84" s="16114"/>
      <c r="AP84" s="16114"/>
      <c r="AQ84" s="16114"/>
      <c r="AR84" s="16113"/>
      <c r="AS84" s="16114"/>
      <c r="AT84" s="16114"/>
      <c r="AU84" s="16114"/>
      <c r="AV84" s="16114"/>
      <c r="AW84" s="16114"/>
      <c r="AX84" s="16114"/>
      <c r="AY84" s="16114"/>
      <c r="AZ84" s="16114"/>
      <c r="BA84" s="16114"/>
      <c r="BB84" s="16115"/>
      <c r="BC84" s="16113"/>
      <c r="BD84" s="16114"/>
      <c r="BE84" s="16114"/>
      <c r="BF84" s="16114"/>
      <c r="BG84" s="16114"/>
      <c r="BH84" s="16114"/>
      <c r="BI84" s="16114"/>
      <c r="BJ84" s="16114"/>
      <c r="BK84" s="16114"/>
      <c r="BL84" s="16114"/>
      <c r="BM84" s="16115"/>
      <c r="BN84" s="16113"/>
      <c r="BO84" s="16114"/>
      <c r="BP84" s="16114"/>
      <c r="BQ84" s="16114"/>
      <c r="BR84" s="16114"/>
      <c r="BS84" s="16114"/>
      <c r="BT84" s="16114"/>
      <c r="BU84" s="16114"/>
      <c r="BV84" s="16114"/>
      <c r="BW84" s="16114"/>
      <c r="BX84" s="16115"/>
      <c r="BY84" s="16113"/>
      <c r="BZ84" s="16114"/>
      <c r="CA84" s="16114"/>
      <c r="CB84" s="16114"/>
      <c r="CC84" s="16114"/>
      <c r="CD84" s="16114"/>
      <c r="CE84" s="16114"/>
      <c r="CF84" s="16114"/>
      <c r="CG84" s="16114"/>
      <c r="CH84" s="16114"/>
      <c r="CI84" s="16115"/>
      <c r="CJ84" s="16113"/>
      <c r="CK84" s="16114"/>
      <c r="CL84" s="16114"/>
      <c r="CM84" s="16114"/>
      <c r="CN84" s="16114"/>
      <c r="CO84" s="16114"/>
      <c r="CP84" s="16114"/>
      <c r="CQ84" s="16114"/>
      <c r="CR84" s="16114"/>
      <c r="CS84" s="16114"/>
      <c r="CT84" s="16115"/>
      <c r="CU84" s="16113"/>
      <c r="CV84" s="16114"/>
      <c r="CW84" s="16114"/>
      <c r="CX84" s="16114"/>
      <c r="CY84" s="16114"/>
      <c r="CZ84" s="16114"/>
      <c r="DA84" s="16114"/>
      <c r="DB84" s="16114"/>
      <c r="DC84" s="16114"/>
      <c r="DD84" s="16114"/>
      <c r="DE84" s="16115"/>
      <c r="DF84" s="16113"/>
      <c r="DG84" s="16114"/>
      <c r="DH84" s="16114"/>
      <c r="DI84" s="16114"/>
      <c r="DJ84" s="16114"/>
      <c r="DK84" s="16114"/>
      <c r="DL84" s="16114"/>
      <c r="DM84" s="16114"/>
      <c r="DN84" s="16114"/>
      <c r="DO84" s="16114"/>
      <c r="DP84" s="16115"/>
      <c r="DQ84" s="16113"/>
      <c r="DR84" s="16114"/>
      <c r="DS84" s="16114"/>
      <c r="DT84" s="16114"/>
      <c r="DU84" s="16114"/>
      <c r="DV84" s="16114"/>
      <c r="DW84" s="16114"/>
      <c r="DX84" s="16114"/>
      <c r="DY84" s="16114"/>
      <c r="DZ84" s="16114"/>
      <c r="EA84" s="16115"/>
      <c r="EB84" s="16113"/>
      <c r="EC84" s="16114"/>
      <c r="ED84" s="16114"/>
      <c r="EE84" s="16114"/>
      <c r="EF84" s="16114"/>
      <c r="EG84" s="16114"/>
      <c r="EH84" s="16114"/>
      <c r="EI84" s="16114"/>
      <c r="EJ84" s="16114"/>
      <c r="EK84" s="16114"/>
      <c r="EL84" s="16115"/>
      <c r="EM84" s="16113"/>
      <c r="EN84" s="16114"/>
      <c r="EO84" s="16114"/>
      <c r="EP84" s="16114"/>
      <c r="EQ84" s="16114"/>
      <c r="ER84" s="16114"/>
      <c r="ES84" s="16114"/>
      <c r="ET84" s="16114"/>
      <c r="EU84" s="16114"/>
      <c r="EV84" s="16114"/>
      <c r="EW84" s="16115"/>
      <c r="EX84" s="16115"/>
      <c r="EY84" s="2519" t="s">
        <v>620</v>
      </c>
      <c r="EZ84" s="2199"/>
      <c r="FA84" s="2512"/>
      <c r="FB84" s="2512" t="str">
        <f t="shared" si="1"/>
        <v>Группа потребителей</v>
      </c>
      <c r="FC84" s="2512"/>
      <c r="FD84" s="2512"/>
    </row>
    <row r="85" spans="1:160" s="14659" customFormat="1" ht="23.25" customHeight="1">
      <c r="A85" s="2502"/>
      <c r="B85" s="2502"/>
      <c r="C85" s="2502"/>
      <c r="D85" s="2502"/>
      <c r="E85" s="16125"/>
      <c r="F85" s="16125" t="s">
        <v>89</v>
      </c>
      <c r="G85" s="16125"/>
      <c r="H85" s="16125"/>
      <c r="I85" s="16145"/>
      <c r="J85" s="16145"/>
      <c r="K85" s="16122" t="str">
        <f>J84&amp;".1"</f>
        <v>1.4.1.1.1.1</v>
      </c>
      <c r="L85" s="2503"/>
      <c r="M85" s="2513"/>
      <c r="N85" s="2513"/>
      <c r="O85" s="2513"/>
      <c r="P85" s="16123"/>
      <c r="Q85" s="16123"/>
      <c r="R85" s="2517">
        <v>1</v>
      </c>
      <c r="S85" s="2508" t="str">
        <f>$K85</f>
        <v>1.4.1.1.1.1</v>
      </c>
      <c r="T85" s="2520"/>
      <c r="U85" s="2510"/>
      <c r="V85" s="1893"/>
      <c r="W85" s="1893"/>
      <c r="X85" s="1893"/>
      <c r="Y85" s="1893"/>
      <c r="Z85" s="1893"/>
      <c r="AA85" s="1893"/>
      <c r="AB85" s="1893"/>
      <c r="AC85" s="16127"/>
      <c r="AD85" s="15973" t="s">
        <v>66</v>
      </c>
      <c r="AE85" s="16127"/>
      <c r="AF85" s="15973" t="s">
        <v>66</v>
      </c>
      <c r="AG85" s="1893">
        <v>49.82</v>
      </c>
      <c r="AH85" s="1893"/>
      <c r="AI85" s="1893"/>
      <c r="AJ85" s="1893"/>
      <c r="AK85" s="1893">
        <v>3804.36</v>
      </c>
      <c r="AL85" s="1893"/>
      <c r="AM85" s="1893"/>
      <c r="AN85" s="16127">
        <v>45292</v>
      </c>
      <c r="AO85" s="15973" t="s">
        <v>66</v>
      </c>
      <c r="AP85" s="16146">
        <v>45378</v>
      </c>
      <c r="AQ85" s="15973" t="s">
        <v>66</v>
      </c>
      <c r="AR85" s="1893">
        <v>49.82</v>
      </c>
      <c r="AS85" s="1893"/>
      <c r="AT85" s="1893"/>
      <c r="AU85" s="1893"/>
      <c r="AV85" s="1893">
        <v>3804.36</v>
      </c>
      <c r="AW85" s="1893"/>
      <c r="AX85" s="1893"/>
      <c r="AY85" s="16127">
        <v>45379</v>
      </c>
      <c r="AZ85" s="15973" t="s">
        <v>66</v>
      </c>
      <c r="BA85" s="16127">
        <v>45473</v>
      </c>
      <c r="BB85" s="15973" t="s">
        <v>66</v>
      </c>
      <c r="BC85" s="1893">
        <v>54.75</v>
      </c>
      <c r="BD85" s="1893"/>
      <c r="BE85" s="1893"/>
      <c r="BF85" s="1893"/>
      <c r="BG85" s="1893">
        <v>4000</v>
      </c>
      <c r="BH85" s="1893"/>
      <c r="BI85" s="1893"/>
      <c r="BJ85" s="16127">
        <v>45474</v>
      </c>
      <c r="BK85" s="15973" t="s">
        <v>66</v>
      </c>
      <c r="BL85" s="16127">
        <v>45657</v>
      </c>
      <c r="BM85" s="15973" t="s">
        <v>66</v>
      </c>
      <c r="BN85" s="1893">
        <v>50.84</v>
      </c>
      <c r="BO85" s="1893"/>
      <c r="BP85" s="1893"/>
      <c r="BQ85" s="1893"/>
      <c r="BR85" s="1893">
        <v>4000</v>
      </c>
      <c r="BS85" s="1893"/>
      <c r="BT85" s="1893"/>
      <c r="BU85" s="16127">
        <v>45658</v>
      </c>
      <c r="BV85" s="15973" t="s">
        <v>66</v>
      </c>
      <c r="BW85" s="16127">
        <v>45838</v>
      </c>
      <c r="BX85" s="15973" t="s">
        <v>66</v>
      </c>
      <c r="BY85" s="1893">
        <v>52.87</v>
      </c>
      <c r="BZ85" s="1893"/>
      <c r="CA85" s="1893"/>
      <c r="CB85" s="1893"/>
      <c r="CC85" s="1893">
        <v>4168</v>
      </c>
      <c r="CD85" s="1893"/>
      <c r="CE85" s="1893"/>
      <c r="CF85" s="16127">
        <v>45839</v>
      </c>
      <c r="CG85" s="15973" t="s">
        <v>66</v>
      </c>
      <c r="CH85" s="16127">
        <v>46022</v>
      </c>
      <c r="CI85" s="15973" t="s">
        <v>66</v>
      </c>
      <c r="CJ85" s="1893">
        <v>52.87</v>
      </c>
      <c r="CK85" s="1893"/>
      <c r="CL85" s="1893"/>
      <c r="CM85" s="1893"/>
      <c r="CN85" s="1893">
        <v>4168</v>
      </c>
      <c r="CO85" s="1893"/>
      <c r="CP85" s="1893"/>
      <c r="CQ85" s="16127">
        <v>46023</v>
      </c>
      <c r="CR85" s="15973" t="s">
        <v>66</v>
      </c>
      <c r="CS85" s="16127">
        <v>46203</v>
      </c>
      <c r="CT85" s="15973" t="s">
        <v>66</v>
      </c>
      <c r="CU85" s="1893">
        <v>54.98</v>
      </c>
      <c r="CV85" s="1893"/>
      <c r="CW85" s="1893"/>
      <c r="CX85" s="1893"/>
      <c r="CY85" s="1893">
        <v>4334.72</v>
      </c>
      <c r="CZ85" s="1893"/>
      <c r="DA85" s="1893"/>
      <c r="DB85" s="16127">
        <v>46204</v>
      </c>
      <c r="DC85" s="15973" t="s">
        <v>66</v>
      </c>
      <c r="DD85" s="16127">
        <v>46387</v>
      </c>
      <c r="DE85" s="15973" t="s">
        <v>66</v>
      </c>
      <c r="DF85" s="1893">
        <v>54.98</v>
      </c>
      <c r="DG85" s="1893"/>
      <c r="DH85" s="1893"/>
      <c r="DI85" s="1893"/>
      <c r="DJ85" s="1893">
        <v>4334.72</v>
      </c>
      <c r="DK85" s="1893"/>
      <c r="DL85" s="1893"/>
      <c r="DM85" s="16127">
        <v>46388</v>
      </c>
      <c r="DN85" s="15973" t="s">
        <v>66</v>
      </c>
      <c r="DO85" s="16127">
        <v>46568</v>
      </c>
      <c r="DP85" s="15973" t="s">
        <v>66</v>
      </c>
      <c r="DQ85" s="1893">
        <v>57.18</v>
      </c>
      <c r="DR85" s="1893"/>
      <c r="DS85" s="1893"/>
      <c r="DT85" s="1893"/>
      <c r="DU85" s="1893">
        <v>4508.1099999999997</v>
      </c>
      <c r="DV85" s="1893"/>
      <c r="DW85" s="1893"/>
      <c r="DX85" s="16127">
        <v>46569</v>
      </c>
      <c r="DY85" s="15973" t="s">
        <v>66</v>
      </c>
      <c r="DZ85" s="16127">
        <v>46752</v>
      </c>
      <c r="EA85" s="15973" t="s">
        <v>66</v>
      </c>
      <c r="EB85" s="1893">
        <v>57.18</v>
      </c>
      <c r="EC85" s="1893"/>
      <c r="ED85" s="1893"/>
      <c r="EE85" s="1893"/>
      <c r="EF85" s="1893">
        <v>4508.1099999999997</v>
      </c>
      <c r="EG85" s="1893"/>
      <c r="EH85" s="1893"/>
      <c r="EI85" s="16127">
        <v>46753</v>
      </c>
      <c r="EJ85" s="15973" t="s">
        <v>66</v>
      </c>
      <c r="EK85" s="16127">
        <v>46934</v>
      </c>
      <c r="EL85" s="15973" t="s">
        <v>66</v>
      </c>
      <c r="EM85" s="14448">
        <v>59.47</v>
      </c>
      <c r="EN85" s="14448"/>
      <c r="EO85" s="14448"/>
      <c r="EP85" s="14448"/>
      <c r="EQ85" s="14448">
        <v>4688.43</v>
      </c>
      <c r="ER85" s="14448"/>
      <c r="ES85" s="14448"/>
      <c r="ET85" s="16127">
        <v>46935</v>
      </c>
      <c r="EU85" s="15973" t="s">
        <v>66</v>
      </c>
      <c r="EV85" s="16127">
        <v>47118</v>
      </c>
      <c r="EW85" s="15973" t="s">
        <v>66</v>
      </c>
      <c r="EX85" s="2521"/>
      <c r="EY85"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85" s="2199" t="e">
        <f ca="1">STRCHECKDATE(V86:EX86)</f>
        <v>#NAME?</v>
      </c>
      <c r="FA85" s="2512"/>
      <c r="FB85" s="2512" t="str">
        <f t="shared" si="1"/>
        <v/>
      </c>
      <c r="FC85" s="2512"/>
      <c r="FD85" s="2512"/>
    </row>
    <row r="86" spans="1:160" s="14660" customFormat="1" ht="14.25" customHeight="1">
      <c r="A86" s="2502"/>
      <c r="B86" s="2502"/>
      <c r="C86" s="2502"/>
      <c r="D86" s="2502"/>
      <c r="E86" s="16125"/>
      <c r="F86" s="16125" t="s">
        <v>89</v>
      </c>
      <c r="G86" s="16125"/>
      <c r="H86" s="16125"/>
      <c r="I86" s="16145"/>
      <c r="J86" s="16145"/>
      <c r="K86" s="16122"/>
      <c r="L86" s="2503"/>
      <c r="M86" s="2513"/>
      <c r="N86" s="2513"/>
      <c r="O86" s="2513"/>
      <c r="P86" s="16123"/>
      <c r="Q86" s="16123"/>
      <c r="R86" s="2517"/>
      <c r="S86" s="2522"/>
      <c r="T86" s="2510"/>
      <c r="U86" s="2510"/>
      <c r="V86" s="1894"/>
      <c r="W86" s="1894"/>
      <c r="X86" s="1894"/>
      <c r="Y86" s="1894"/>
      <c r="Z86" s="1894"/>
      <c r="AA86" s="1894"/>
      <c r="AB86" s="1894"/>
      <c r="AC86" s="16128"/>
      <c r="AD86" s="15973"/>
      <c r="AE86" s="16128"/>
      <c r="AF86" s="15973"/>
      <c r="AG86" s="1894"/>
      <c r="AH86" s="1894"/>
      <c r="AI86" s="1894"/>
      <c r="AJ86" s="1894"/>
      <c r="AK86" s="1894"/>
      <c r="AL86" s="1894"/>
      <c r="AM86" s="1894"/>
      <c r="AN86" s="16128"/>
      <c r="AO86" s="15973"/>
      <c r="AP86" s="16147"/>
      <c r="AQ86" s="15973"/>
      <c r="AR86" s="1894"/>
      <c r="AS86" s="1894"/>
      <c r="AT86" s="1894"/>
      <c r="AU86" s="1894"/>
      <c r="AV86" s="1894"/>
      <c r="AW86" s="1894"/>
      <c r="AX86" s="1894"/>
      <c r="AY86" s="16128"/>
      <c r="AZ86" s="15973"/>
      <c r="BA86" s="16128"/>
      <c r="BB86" s="15973"/>
      <c r="BC86" s="1894"/>
      <c r="BD86" s="1894"/>
      <c r="BE86" s="1894"/>
      <c r="BF86" s="1894"/>
      <c r="BG86" s="1894"/>
      <c r="BH86" s="1894"/>
      <c r="BI86" s="1894"/>
      <c r="BJ86" s="16128"/>
      <c r="BK86" s="15973"/>
      <c r="BL86" s="16128"/>
      <c r="BM86" s="15973"/>
      <c r="BN86" s="1894"/>
      <c r="BO86" s="1894"/>
      <c r="BP86" s="1894"/>
      <c r="BQ86" s="1894"/>
      <c r="BR86" s="1894"/>
      <c r="BS86" s="1894"/>
      <c r="BT86" s="1894"/>
      <c r="BU86" s="16128"/>
      <c r="BV86" s="15973"/>
      <c r="BW86" s="16128"/>
      <c r="BX86" s="15973"/>
      <c r="BY86" s="1894"/>
      <c r="BZ86" s="1894"/>
      <c r="CA86" s="1894"/>
      <c r="CB86" s="1894"/>
      <c r="CC86" s="1894"/>
      <c r="CD86" s="1894"/>
      <c r="CE86" s="1894"/>
      <c r="CF86" s="16128"/>
      <c r="CG86" s="15973"/>
      <c r="CH86" s="16128"/>
      <c r="CI86" s="15973"/>
      <c r="CJ86" s="1894"/>
      <c r="CK86" s="1894"/>
      <c r="CL86" s="1894"/>
      <c r="CM86" s="1894"/>
      <c r="CN86" s="1894"/>
      <c r="CO86" s="1894"/>
      <c r="CP86" s="1894"/>
      <c r="CQ86" s="16128"/>
      <c r="CR86" s="15973"/>
      <c r="CS86" s="16128"/>
      <c r="CT86" s="15973"/>
      <c r="CU86" s="1894"/>
      <c r="CV86" s="1894"/>
      <c r="CW86" s="1894"/>
      <c r="CX86" s="1894"/>
      <c r="CY86" s="1894"/>
      <c r="CZ86" s="1894"/>
      <c r="DA86" s="1894"/>
      <c r="DB86" s="16128"/>
      <c r="DC86" s="15973"/>
      <c r="DD86" s="16128"/>
      <c r="DE86" s="15973"/>
      <c r="DF86" s="1894"/>
      <c r="DG86" s="1894"/>
      <c r="DH86" s="1894"/>
      <c r="DI86" s="1894"/>
      <c r="DJ86" s="1894"/>
      <c r="DK86" s="1894"/>
      <c r="DL86" s="1894"/>
      <c r="DM86" s="16128"/>
      <c r="DN86" s="15973"/>
      <c r="DO86" s="16128"/>
      <c r="DP86" s="15973"/>
      <c r="DQ86" s="1894"/>
      <c r="DR86" s="1894"/>
      <c r="DS86" s="1894"/>
      <c r="DT86" s="1894"/>
      <c r="DU86" s="1894"/>
      <c r="DV86" s="1894"/>
      <c r="DW86" s="1894"/>
      <c r="DX86" s="16128"/>
      <c r="DY86" s="15973"/>
      <c r="DZ86" s="16128"/>
      <c r="EA86" s="15973"/>
      <c r="EB86" s="1894"/>
      <c r="EC86" s="1894"/>
      <c r="ED86" s="1894"/>
      <c r="EE86" s="1894"/>
      <c r="EF86" s="1894"/>
      <c r="EG86" s="1894"/>
      <c r="EH86" s="1894"/>
      <c r="EI86" s="16128"/>
      <c r="EJ86" s="15973"/>
      <c r="EK86" s="16128"/>
      <c r="EL86" s="15973"/>
      <c r="EM86" s="14449"/>
      <c r="EN86" s="14449"/>
      <c r="EO86" s="14449"/>
      <c r="EP86" s="14449"/>
      <c r="EQ86" s="14449"/>
      <c r="ER86" s="14449"/>
      <c r="ES86" s="14449"/>
      <c r="ET86" s="16128"/>
      <c r="EU86" s="15973"/>
      <c r="EV86" s="16128"/>
      <c r="EW86" s="15973"/>
      <c r="EX86" s="2523"/>
      <c r="EY86" s="16182"/>
      <c r="EZ86" s="2199"/>
      <c r="FA86" s="2512"/>
      <c r="FB86" s="2512" t="str">
        <f t="shared" si="1"/>
        <v/>
      </c>
      <c r="FC86" s="2512"/>
      <c r="FD86" s="2512"/>
    </row>
    <row r="87" spans="1:160" s="14661" customFormat="1" ht="21" customHeight="1">
      <c r="A87" s="2502"/>
      <c r="B87" s="2502"/>
      <c r="C87" s="2502"/>
      <c r="D87" s="2502"/>
      <c r="E87" s="16125"/>
      <c r="F87" s="16125" t="s">
        <v>89</v>
      </c>
      <c r="G87" s="16125"/>
      <c r="H87" s="16125"/>
      <c r="I87" s="16145"/>
      <c r="J87" s="16122"/>
      <c r="K87" s="2502"/>
      <c r="L87" s="2503"/>
      <c r="M87" s="2513"/>
      <c r="N87" s="2513"/>
      <c r="O87" s="2513"/>
      <c r="P87" s="16123"/>
      <c r="Q87" s="16123"/>
      <c r="R87" s="2515"/>
      <c r="S87" s="3667"/>
      <c r="T87" s="3668" t="s">
        <v>621</v>
      </c>
      <c r="U87" s="3669"/>
      <c r="V87" s="3670"/>
      <c r="W87" s="3671"/>
      <c r="X87" s="3672"/>
      <c r="Y87" s="3673"/>
      <c r="Z87" s="3674"/>
      <c r="AA87" s="3675"/>
      <c r="AB87" s="3676"/>
      <c r="AC87" s="3677"/>
      <c r="AD87" s="3678"/>
      <c r="AE87" s="3679"/>
      <c r="AF87" s="3680"/>
      <c r="AG87" s="3681"/>
      <c r="AH87" s="3682"/>
      <c r="AI87" s="3683"/>
      <c r="AJ87" s="3684"/>
      <c r="AK87" s="3685"/>
      <c r="AL87" s="3686"/>
      <c r="AM87" s="3687"/>
      <c r="AN87" s="3688"/>
      <c r="AO87" s="3689"/>
      <c r="AP87" s="3690"/>
      <c r="AQ87" s="3691"/>
      <c r="AR87" s="3692"/>
      <c r="AS87" s="3693"/>
      <c r="AT87" s="3694"/>
      <c r="AU87" s="3695"/>
      <c r="AV87" s="3696"/>
      <c r="AW87" s="3697"/>
      <c r="AX87" s="3698"/>
      <c r="AY87" s="3699"/>
      <c r="AZ87" s="3700"/>
      <c r="BA87" s="3701"/>
      <c r="BB87" s="3702"/>
      <c r="BC87" s="3703"/>
      <c r="BD87" s="3704"/>
      <c r="BE87" s="3705"/>
      <c r="BF87" s="3706"/>
      <c r="BG87" s="3707"/>
      <c r="BH87" s="3708"/>
      <c r="BI87" s="3709"/>
      <c r="BJ87" s="3710"/>
      <c r="BK87" s="3711"/>
      <c r="BL87" s="3712"/>
      <c r="BM87" s="3713"/>
      <c r="BN87" s="3714"/>
      <c r="BO87" s="3715"/>
      <c r="BP87" s="3716"/>
      <c r="BQ87" s="3717"/>
      <c r="BR87" s="3718"/>
      <c r="BS87" s="3719"/>
      <c r="BT87" s="3720"/>
      <c r="BU87" s="3721"/>
      <c r="BV87" s="3722"/>
      <c r="BW87" s="3723"/>
      <c r="BX87" s="3724"/>
      <c r="BY87" s="3725"/>
      <c r="BZ87" s="3726"/>
      <c r="CA87" s="3727"/>
      <c r="CB87" s="3728"/>
      <c r="CC87" s="3729"/>
      <c r="CD87" s="3730"/>
      <c r="CE87" s="3731"/>
      <c r="CF87" s="3732"/>
      <c r="CG87" s="3733"/>
      <c r="CH87" s="3734"/>
      <c r="CI87" s="3735"/>
      <c r="CJ87" s="3736"/>
      <c r="CK87" s="3737"/>
      <c r="CL87" s="3738"/>
      <c r="CM87" s="3739"/>
      <c r="CN87" s="3740"/>
      <c r="CO87" s="3741"/>
      <c r="CP87" s="3742"/>
      <c r="CQ87" s="3743"/>
      <c r="CR87" s="3744"/>
      <c r="CS87" s="3745"/>
      <c r="CT87" s="3746"/>
      <c r="CU87" s="3747"/>
      <c r="CV87" s="3748"/>
      <c r="CW87" s="3749"/>
      <c r="CX87" s="3750"/>
      <c r="CY87" s="3751"/>
      <c r="CZ87" s="3752"/>
      <c r="DA87" s="3753"/>
      <c r="DB87" s="3754"/>
      <c r="DC87" s="3755"/>
      <c r="DD87" s="3756"/>
      <c r="DE87" s="3757"/>
      <c r="DF87" s="3758"/>
      <c r="DG87" s="3759"/>
      <c r="DH87" s="3760"/>
      <c r="DI87" s="3761"/>
      <c r="DJ87" s="3762"/>
      <c r="DK87" s="3763"/>
      <c r="DL87" s="3764"/>
      <c r="DM87" s="3765"/>
      <c r="DN87" s="3766"/>
      <c r="DO87" s="3767"/>
      <c r="DP87" s="3768"/>
      <c r="DQ87" s="3769"/>
      <c r="DR87" s="3770"/>
      <c r="DS87" s="3771"/>
      <c r="DT87" s="3772"/>
      <c r="DU87" s="3773"/>
      <c r="DV87" s="3774"/>
      <c r="DW87" s="3775"/>
      <c r="DX87" s="3776"/>
      <c r="DY87" s="3777"/>
      <c r="DZ87" s="3778"/>
      <c r="EA87" s="3779"/>
      <c r="EB87" s="3780"/>
      <c r="EC87" s="3781"/>
      <c r="ED87" s="3782"/>
      <c r="EE87" s="3783"/>
      <c r="EF87" s="3784"/>
      <c r="EG87" s="3785"/>
      <c r="EH87" s="3786"/>
      <c r="EI87" s="3787"/>
      <c r="EJ87" s="3788"/>
      <c r="EK87" s="3789"/>
      <c r="EL87" s="3790"/>
      <c r="EM87" s="14662"/>
      <c r="EN87" s="14663"/>
      <c r="EO87" s="14664"/>
      <c r="EP87" s="14665"/>
      <c r="EQ87" s="14666"/>
      <c r="ER87" s="14667"/>
      <c r="ES87" s="14668"/>
      <c r="ET87" s="14669"/>
      <c r="EU87" s="14670"/>
      <c r="EV87" s="14671"/>
      <c r="EW87" s="14672"/>
      <c r="EX87" s="3791"/>
      <c r="EY87" s="2511" t="s">
        <v>622</v>
      </c>
      <c r="EZ87" s="2199"/>
      <c r="FA87" s="2512"/>
      <c r="FB87" s="2512" t="str">
        <f t="shared" si="1"/>
        <v>Добавить значение признака дифференциации</v>
      </c>
      <c r="FC87" s="2512"/>
      <c r="FD87" s="2512"/>
    </row>
    <row r="88" spans="1:160" s="14673" customFormat="1" ht="21" customHeight="1">
      <c r="A88" s="2502"/>
      <c r="B88" s="2502"/>
      <c r="C88" s="2502"/>
      <c r="D88" s="2502"/>
      <c r="E88" s="16125"/>
      <c r="F88" s="16125" t="s">
        <v>89</v>
      </c>
      <c r="G88" s="16125"/>
      <c r="H88" s="16125"/>
      <c r="I88" s="16122"/>
      <c r="J88" s="2502"/>
      <c r="K88" s="2502"/>
      <c r="L88" s="2503"/>
      <c r="M88" s="2513"/>
      <c r="N88" s="2513"/>
      <c r="O88" s="2513"/>
      <c r="P88" s="16123"/>
      <c r="Q88" s="2514"/>
      <c r="R88" s="2515"/>
      <c r="S88" s="3792"/>
      <c r="T88" s="3793" t="s">
        <v>549</v>
      </c>
      <c r="U88" s="3794"/>
      <c r="V88" s="3795"/>
      <c r="W88" s="3796"/>
      <c r="X88" s="3797"/>
      <c r="Y88" s="3798"/>
      <c r="Z88" s="3799"/>
      <c r="AA88" s="3800"/>
      <c r="AB88" s="3801"/>
      <c r="AC88" s="3802"/>
      <c r="AD88" s="3803"/>
      <c r="AE88" s="3804"/>
      <c r="AF88" s="3805"/>
      <c r="AG88" s="3806"/>
      <c r="AH88" s="3807"/>
      <c r="AI88" s="3808"/>
      <c r="AJ88" s="3809"/>
      <c r="AK88" s="3810"/>
      <c r="AL88" s="3811"/>
      <c r="AM88" s="3812"/>
      <c r="AN88" s="3813"/>
      <c r="AO88" s="3814"/>
      <c r="AP88" s="3815"/>
      <c r="AQ88" s="3816"/>
      <c r="AR88" s="3817"/>
      <c r="AS88" s="3818"/>
      <c r="AT88" s="3819"/>
      <c r="AU88" s="3820"/>
      <c r="AV88" s="3821"/>
      <c r="AW88" s="3822"/>
      <c r="AX88" s="3823"/>
      <c r="AY88" s="3824"/>
      <c r="AZ88" s="3825"/>
      <c r="BA88" s="3826"/>
      <c r="BB88" s="3827"/>
      <c r="BC88" s="3828"/>
      <c r="BD88" s="3829"/>
      <c r="BE88" s="3830"/>
      <c r="BF88" s="3831"/>
      <c r="BG88" s="3832"/>
      <c r="BH88" s="3833"/>
      <c r="BI88" s="3834"/>
      <c r="BJ88" s="3835"/>
      <c r="BK88" s="3836"/>
      <c r="BL88" s="3837"/>
      <c r="BM88" s="3838"/>
      <c r="BN88" s="3839"/>
      <c r="BO88" s="3840"/>
      <c r="BP88" s="3841"/>
      <c r="BQ88" s="3842"/>
      <c r="BR88" s="3843"/>
      <c r="BS88" s="3844"/>
      <c r="BT88" s="3845"/>
      <c r="BU88" s="3846"/>
      <c r="BV88" s="3847"/>
      <c r="BW88" s="3848"/>
      <c r="BX88" s="3849"/>
      <c r="BY88" s="3850"/>
      <c r="BZ88" s="3851"/>
      <c r="CA88" s="3852"/>
      <c r="CB88" s="3853"/>
      <c r="CC88" s="3854"/>
      <c r="CD88" s="3855"/>
      <c r="CE88" s="3856"/>
      <c r="CF88" s="3857"/>
      <c r="CG88" s="3858"/>
      <c r="CH88" s="3859"/>
      <c r="CI88" s="3860"/>
      <c r="CJ88" s="3861"/>
      <c r="CK88" s="3862"/>
      <c r="CL88" s="3863"/>
      <c r="CM88" s="3864"/>
      <c r="CN88" s="3865"/>
      <c r="CO88" s="3866"/>
      <c r="CP88" s="3867"/>
      <c r="CQ88" s="3868"/>
      <c r="CR88" s="3869"/>
      <c r="CS88" s="3870"/>
      <c r="CT88" s="3871"/>
      <c r="CU88" s="3872"/>
      <c r="CV88" s="3873"/>
      <c r="CW88" s="3874"/>
      <c r="CX88" s="3875"/>
      <c r="CY88" s="3876"/>
      <c r="CZ88" s="3877"/>
      <c r="DA88" s="3878"/>
      <c r="DB88" s="3879"/>
      <c r="DC88" s="3880"/>
      <c r="DD88" s="3881"/>
      <c r="DE88" s="3882"/>
      <c r="DF88" s="3883"/>
      <c r="DG88" s="3884"/>
      <c r="DH88" s="3885"/>
      <c r="DI88" s="3886"/>
      <c r="DJ88" s="3887"/>
      <c r="DK88" s="3888"/>
      <c r="DL88" s="3889"/>
      <c r="DM88" s="3890"/>
      <c r="DN88" s="3891"/>
      <c r="DO88" s="3892"/>
      <c r="DP88" s="3893"/>
      <c r="DQ88" s="3894"/>
      <c r="DR88" s="3895"/>
      <c r="DS88" s="3896"/>
      <c r="DT88" s="3897"/>
      <c r="DU88" s="3898"/>
      <c r="DV88" s="3899"/>
      <c r="DW88" s="3900"/>
      <c r="DX88" s="3901"/>
      <c r="DY88" s="3902"/>
      <c r="DZ88" s="3903"/>
      <c r="EA88" s="3904"/>
      <c r="EB88" s="3905"/>
      <c r="EC88" s="3906"/>
      <c r="ED88" s="3907"/>
      <c r="EE88" s="3908"/>
      <c r="EF88" s="3909"/>
      <c r="EG88" s="3910"/>
      <c r="EH88" s="3911"/>
      <c r="EI88" s="3912"/>
      <c r="EJ88" s="3913"/>
      <c r="EK88" s="3914"/>
      <c r="EL88" s="3915"/>
      <c r="EM88" s="14674"/>
      <c r="EN88" s="14675"/>
      <c r="EO88" s="14676"/>
      <c r="EP88" s="14677"/>
      <c r="EQ88" s="14678"/>
      <c r="ER88" s="14679"/>
      <c r="ES88" s="14680"/>
      <c r="ET88" s="14681"/>
      <c r="EU88" s="14682"/>
      <c r="EV88" s="14683"/>
      <c r="EW88" s="14684"/>
      <c r="EX88" s="3916"/>
      <c r="EY88" s="3917"/>
      <c r="EZ88" s="2199"/>
      <c r="FA88" s="2512"/>
      <c r="FB88" s="2512" t="str">
        <f t="shared" si="1"/>
        <v>Добавить группу потребителей</v>
      </c>
      <c r="FC88" s="2512"/>
      <c r="FD88" s="2512"/>
    </row>
    <row r="89" spans="1:160" s="14685" customFormat="1" ht="21" customHeight="1">
      <c r="A89" s="2502"/>
      <c r="B89" s="2502"/>
      <c r="C89" s="2502"/>
      <c r="D89" s="2502"/>
      <c r="E89" s="16125"/>
      <c r="F89" s="16125" t="s">
        <v>89</v>
      </c>
      <c r="G89" s="16125"/>
      <c r="H89" s="16124"/>
      <c r="I89" s="2502"/>
      <c r="J89" s="2502"/>
      <c r="K89" s="2502"/>
      <c r="L89" s="2503"/>
      <c r="M89" s="2504"/>
      <c r="N89" s="2504"/>
      <c r="O89" s="2193"/>
      <c r="P89" s="2775"/>
      <c r="Q89" s="2776"/>
      <c r="R89" s="2777"/>
      <c r="S89" s="3918"/>
      <c r="T89" s="3919" t="s">
        <v>623</v>
      </c>
      <c r="U89" s="3920"/>
      <c r="V89" s="3921"/>
      <c r="W89" s="3922"/>
      <c r="X89" s="3923"/>
      <c r="Y89" s="3924"/>
      <c r="Z89" s="3925"/>
      <c r="AA89" s="3926"/>
      <c r="AB89" s="3927"/>
      <c r="AC89" s="3928"/>
      <c r="AD89" s="3929"/>
      <c r="AE89" s="3930"/>
      <c r="AF89" s="3931"/>
      <c r="AG89" s="3932"/>
      <c r="AH89" s="3933"/>
      <c r="AI89" s="3934"/>
      <c r="AJ89" s="3935"/>
      <c r="AK89" s="3936"/>
      <c r="AL89" s="3937"/>
      <c r="AM89" s="3938"/>
      <c r="AN89" s="3939"/>
      <c r="AO89" s="3940"/>
      <c r="AP89" s="3941"/>
      <c r="AQ89" s="3942"/>
      <c r="AR89" s="3943"/>
      <c r="AS89" s="3944"/>
      <c r="AT89" s="3945"/>
      <c r="AU89" s="3946"/>
      <c r="AV89" s="3947"/>
      <c r="AW89" s="3948"/>
      <c r="AX89" s="3949"/>
      <c r="AY89" s="3950"/>
      <c r="AZ89" s="3951"/>
      <c r="BA89" s="3952"/>
      <c r="BB89" s="3953"/>
      <c r="BC89" s="3954"/>
      <c r="BD89" s="3955"/>
      <c r="BE89" s="3956"/>
      <c r="BF89" s="3957"/>
      <c r="BG89" s="3958"/>
      <c r="BH89" s="3959"/>
      <c r="BI89" s="3960"/>
      <c r="BJ89" s="3961"/>
      <c r="BK89" s="3962"/>
      <c r="BL89" s="3963"/>
      <c r="BM89" s="3964"/>
      <c r="BN89" s="3965"/>
      <c r="BO89" s="3966"/>
      <c r="BP89" s="3967"/>
      <c r="BQ89" s="3968"/>
      <c r="BR89" s="3969"/>
      <c r="BS89" s="3970"/>
      <c r="BT89" s="3971"/>
      <c r="BU89" s="3972"/>
      <c r="BV89" s="3973"/>
      <c r="BW89" s="3974"/>
      <c r="BX89" s="3975"/>
      <c r="BY89" s="3976"/>
      <c r="BZ89" s="3977"/>
      <c r="CA89" s="3978"/>
      <c r="CB89" s="3979"/>
      <c r="CC89" s="3980"/>
      <c r="CD89" s="3981"/>
      <c r="CE89" s="3982"/>
      <c r="CF89" s="3983"/>
      <c r="CG89" s="3984"/>
      <c r="CH89" s="3985"/>
      <c r="CI89" s="3986"/>
      <c r="CJ89" s="3987"/>
      <c r="CK89" s="3988"/>
      <c r="CL89" s="3989"/>
      <c r="CM89" s="3990"/>
      <c r="CN89" s="3991"/>
      <c r="CO89" s="3992"/>
      <c r="CP89" s="3993"/>
      <c r="CQ89" s="3994"/>
      <c r="CR89" s="3995"/>
      <c r="CS89" s="3996"/>
      <c r="CT89" s="3997"/>
      <c r="CU89" s="3998"/>
      <c r="CV89" s="3999"/>
      <c r="CW89" s="4000"/>
      <c r="CX89" s="4001"/>
      <c r="CY89" s="4002"/>
      <c r="CZ89" s="4003"/>
      <c r="DA89" s="4004"/>
      <c r="DB89" s="4005"/>
      <c r="DC89" s="4006"/>
      <c r="DD89" s="4007"/>
      <c r="DE89" s="4008"/>
      <c r="DF89" s="4009"/>
      <c r="DG89" s="4010"/>
      <c r="DH89" s="4011"/>
      <c r="DI89" s="4012"/>
      <c r="DJ89" s="4013"/>
      <c r="DK89" s="4014"/>
      <c r="DL89" s="4015"/>
      <c r="DM89" s="4016"/>
      <c r="DN89" s="4017"/>
      <c r="DO89" s="4018"/>
      <c r="DP89" s="4019"/>
      <c r="DQ89" s="4020"/>
      <c r="DR89" s="4021"/>
      <c r="DS89" s="4022"/>
      <c r="DT89" s="4023"/>
      <c r="DU89" s="4024"/>
      <c r="DV89" s="4025"/>
      <c r="DW89" s="4026"/>
      <c r="DX89" s="4027"/>
      <c r="DY89" s="4028"/>
      <c r="DZ89" s="4029"/>
      <c r="EA89" s="4030"/>
      <c r="EB89" s="4031"/>
      <c r="EC89" s="4032"/>
      <c r="ED89" s="4033"/>
      <c r="EE89" s="4034"/>
      <c r="EF89" s="4035"/>
      <c r="EG89" s="4036"/>
      <c r="EH89" s="4037"/>
      <c r="EI89" s="4038"/>
      <c r="EJ89" s="4039"/>
      <c r="EK89" s="4040"/>
      <c r="EL89" s="4041"/>
      <c r="EM89" s="14686"/>
      <c r="EN89" s="14687"/>
      <c r="EO89" s="14688"/>
      <c r="EP89" s="14689"/>
      <c r="EQ89" s="14690"/>
      <c r="ER89" s="14691"/>
      <c r="ES89" s="14692"/>
      <c r="ET89" s="14693"/>
      <c r="EU89" s="14694"/>
      <c r="EV89" s="14695"/>
      <c r="EW89" s="14696"/>
      <c r="EX89" s="4042"/>
      <c r="EY89" s="4043"/>
      <c r="EZ89" s="2199"/>
      <c r="FA89" s="2512"/>
      <c r="FB89" s="2512" t="str">
        <f t="shared" si="1"/>
        <v>Добавить наименование признака дифференциации</v>
      </c>
      <c r="FC89" s="2512"/>
      <c r="FD89" s="2512"/>
    </row>
    <row r="90" spans="1:160" s="14697" customFormat="1" ht="14.25" customHeight="1">
      <c r="A90" s="3283"/>
      <c r="B90" s="3283"/>
      <c r="C90" s="3283"/>
      <c r="D90" s="3283"/>
      <c r="E90" s="16125"/>
      <c r="F90" s="16124" t="s">
        <v>89</v>
      </c>
      <c r="G90" s="3283"/>
      <c r="H90" s="3283"/>
      <c r="I90" s="3283"/>
      <c r="J90" s="3283"/>
      <c r="K90" s="3283"/>
      <c r="L90" s="3284"/>
      <c r="M90" s="3285"/>
      <c r="N90" s="3285"/>
      <c r="O90" s="2199"/>
      <c r="P90" s="3286"/>
      <c r="Q90" s="3287"/>
      <c r="R90" s="3286"/>
      <c r="S90" s="3288"/>
      <c r="T90" s="3289" t="s">
        <v>290</v>
      </c>
      <c r="U90" s="2192"/>
      <c r="V90" s="2192"/>
      <c r="W90" s="2192"/>
      <c r="X90" s="2192"/>
      <c r="Y90" s="2192"/>
      <c r="Z90" s="2192"/>
      <c r="AA90" s="2192"/>
      <c r="AB90" s="2192"/>
      <c r="AC90" s="2192"/>
      <c r="AD90" s="2192"/>
      <c r="AE90" s="2192"/>
      <c r="AF90" s="2192"/>
      <c r="AG90" s="2192"/>
      <c r="AH90" s="2192"/>
      <c r="AI90" s="2192"/>
      <c r="AJ90" s="2192"/>
      <c r="AK90" s="2192"/>
      <c r="AL90" s="2192"/>
      <c r="AM90" s="2192"/>
      <c r="AN90" s="2192"/>
      <c r="AO90" s="2192"/>
      <c r="AP90" s="2192"/>
      <c r="AQ90" s="2192"/>
      <c r="AR90" s="2192"/>
      <c r="AS90" s="2192"/>
      <c r="AT90" s="2192"/>
      <c r="AU90" s="2192"/>
      <c r="AV90" s="2192"/>
      <c r="AW90" s="2192"/>
      <c r="AX90" s="2192"/>
      <c r="AY90" s="2192"/>
      <c r="AZ90" s="2192"/>
      <c r="BA90" s="2192"/>
      <c r="BB90" s="2192"/>
      <c r="BC90" s="2192"/>
      <c r="BD90" s="2192"/>
      <c r="BE90" s="2192"/>
      <c r="BF90" s="2192"/>
      <c r="BG90" s="2192"/>
      <c r="BH90" s="2192"/>
      <c r="BI90" s="2192"/>
      <c r="BJ90" s="2192"/>
      <c r="BK90" s="2192"/>
      <c r="BL90" s="2192"/>
      <c r="BM90" s="2192"/>
      <c r="BN90" s="2192"/>
      <c r="BO90" s="2192"/>
      <c r="BP90" s="2192"/>
      <c r="BQ90" s="2192"/>
      <c r="BR90" s="2192"/>
      <c r="BS90" s="2192"/>
      <c r="BT90" s="2192"/>
      <c r="BU90" s="2192"/>
      <c r="BV90" s="2192"/>
      <c r="BW90" s="2192"/>
      <c r="BX90" s="2192"/>
      <c r="BY90" s="2192"/>
      <c r="BZ90" s="2192"/>
      <c r="CA90" s="2192"/>
      <c r="CB90" s="2192"/>
      <c r="CC90" s="2192"/>
      <c r="CD90" s="2192"/>
      <c r="CE90" s="2192"/>
      <c r="CF90" s="2192"/>
      <c r="CG90" s="2192"/>
      <c r="CH90" s="2192"/>
      <c r="CI90" s="2192"/>
      <c r="CJ90" s="2192"/>
      <c r="CK90" s="2192"/>
      <c r="CL90" s="2192"/>
      <c r="CM90" s="2192"/>
      <c r="CN90" s="2192"/>
      <c r="CO90" s="2192"/>
      <c r="CP90" s="2192"/>
      <c r="CQ90" s="2192"/>
      <c r="CR90" s="2192"/>
      <c r="CS90" s="2192"/>
      <c r="CT90" s="2192"/>
      <c r="CU90" s="2192"/>
      <c r="CV90" s="2192"/>
      <c r="CW90" s="2192"/>
      <c r="CX90" s="2192"/>
      <c r="CY90" s="2192"/>
      <c r="CZ90" s="2192"/>
      <c r="DA90" s="2192"/>
      <c r="DB90" s="2192"/>
      <c r="DC90" s="2192"/>
      <c r="DD90" s="2192"/>
      <c r="DE90" s="2192"/>
      <c r="DF90" s="2192"/>
      <c r="DG90" s="2192"/>
      <c r="DH90" s="2192"/>
      <c r="DI90" s="2192"/>
      <c r="DJ90" s="2192"/>
      <c r="DK90" s="2192"/>
      <c r="DL90" s="2192"/>
      <c r="DM90" s="2192"/>
      <c r="DN90" s="2192"/>
      <c r="DO90" s="2192"/>
      <c r="DP90" s="2192"/>
      <c r="DQ90" s="2192"/>
      <c r="DR90" s="2192"/>
      <c r="DS90" s="2192"/>
      <c r="DT90" s="2192"/>
      <c r="DU90" s="2192"/>
      <c r="DV90" s="2192"/>
      <c r="DW90" s="2192"/>
      <c r="DX90" s="2192"/>
      <c r="DY90" s="2192"/>
      <c r="DZ90" s="2192"/>
      <c r="EA90" s="2192"/>
      <c r="EB90" s="2192"/>
      <c r="EC90" s="2192"/>
      <c r="ED90" s="2192"/>
      <c r="EE90" s="2192"/>
      <c r="EF90" s="2192"/>
      <c r="EG90" s="2192"/>
      <c r="EH90" s="2192"/>
      <c r="EI90" s="2192"/>
      <c r="EJ90" s="2192"/>
      <c r="EK90" s="2192"/>
      <c r="EL90" s="2192"/>
      <c r="EM90" s="14483"/>
      <c r="EN90" s="14483"/>
      <c r="EO90" s="14483"/>
      <c r="EP90" s="14483"/>
      <c r="EQ90" s="14483"/>
      <c r="ER90" s="14483"/>
      <c r="ES90" s="14483"/>
      <c r="ET90" s="14483"/>
      <c r="EU90" s="14483"/>
      <c r="EV90" s="14483"/>
      <c r="EW90" s="14483"/>
      <c r="EX90" s="2192"/>
      <c r="EY90" s="2192"/>
      <c r="EZ90" s="2199"/>
      <c r="FA90" s="2512"/>
      <c r="FB90" s="2512" t="str">
        <f t="shared" si="1"/>
        <v>Добавить централизованную систему для дифференциации</v>
      </c>
      <c r="FC90" s="2512"/>
      <c r="FD90" s="2512"/>
    </row>
    <row r="91" spans="1:160" s="14698" customFormat="1" ht="23.25" customHeight="1">
      <c r="A91" s="2502"/>
      <c r="B91" s="2502" t="s">
        <v>302</v>
      </c>
      <c r="C91" s="2502"/>
      <c r="D91" s="2502"/>
      <c r="E91" s="16125"/>
      <c r="F91" s="16124" t="s">
        <v>117</v>
      </c>
      <c r="G91" s="2502"/>
      <c r="H91" s="2502"/>
      <c r="I91" s="2502"/>
      <c r="J91" s="2502"/>
      <c r="K91" s="2502"/>
      <c r="L91" s="2503"/>
      <c r="M91" s="2504"/>
      <c r="N91" s="2504"/>
      <c r="O91" s="2504"/>
      <c r="P91" s="2904"/>
      <c r="Q91" s="2506"/>
      <c r="R91" s="2507"/>
      <c r="S91" s="2508" t="str">
        <f>INDEX(PT_DIFFERENTIATION_NUM_TER,MATCH(B91,PT_DIFFERENTIATION_TER_ID,0))</f>
        <v>1.5</v>
      </c>
      <c r="T91" s="2905" t="s">
        <v>534</v>
      </c>
      <c r="U91" s="2510"/>
      <c r="V91" s="16110"/>
      <c r="W91" s="16111"/>
      <c r="X91" s="16111"/>
      <c r="Y91" s="16111"/>
      <c r="Z91" s="16111"/>
      <c r="AA91" s="16111"/>
      <c r="AB91" s="16111"/>
      <c r="AC91" s="16111"/>
      <c r="AD91" s="16111"/>
      <c r="AE91" s="16111"/>
      <c r="AF91" s="16112"/>
      <c r="AG91" s="16110" t="str">
        <f>INDEX(PT_DIFFERENTIATION_TER,MATCH(B91,PT_DIFFERENTIATION_TER_ID,0))</f>
        <v>Территория 5</v>
      </c>
      <c r="AH91" s="16111"/>
      <c r="AI91" s="16111"/>
      <c r="AJ91" s="16111"/>
      <c r="AK91" s="16111"/>
      <c r="AL91" s="16111"/>
      <c r="AM91" s="16111"/>
      <c r="AN91" s="16111"/>
      <c r="AO91" s="16111"/>
      <c r="AP91" s="16111"/>
      <c r="AQ91" s="16111"/>
      <c r="AR91" s="16110"/>
      <c r="AS91" s="16111"/>
      <c r="AT91" s="16111"/>
      <c r="AU91" s="16111"/>
      <c r="AV91" s="16111"/>
      <c r="AW91" s="16111"/>
      <c r="AX91" s="16111"/>
      <c r="AY91" s="16111"/>
      <c r="AZ91" s="16111"/>
      <c r="BA91" s="16111"/>
      <c r="BB91" s="16112"/>
      <c r="BC91" s="16110"/>
      <c r="BD91" s="16111"/>
      <c r="BE91" s="16111"/>
      <c r="BF91" s="16111"/>
      <c r="BG91" s="16111"/>
      <c r="BH91" s="16111"/>
      <c r="BI91" s="16111"/>
      <c r="BJ91" s="16111"/>
      <c r="BK91" s="16111"/>
      <c r="BL91" s="16111"/>
      <c r="BM91" s="16112"/>
      <c r="BN91" s="16110"/>
      <c r="BO91" s="16111"/>
      <c r="BP91" s="16111"/>
      <c r="BQ91" s="16111"/>
      <c r="BR91" s="16111"/>
      <c r="BS91" s="16111"/>
      <c r="BT91" s="16111"/>
      <c r="BU91" s="16111"/>
      <c r="BV91" s="16111"/>
      <c r="BW91" s="16111"/>
      <c r="BX91" s="16112"/>
      <c r="BY91" s="16110"/>
      <c r="BZ91" s="16111"/>
      <c r="CA91" s="16111"/>
      <c r="CB91" s="16111"/>
      <c r="CC91" s="16111"/>
      <c r="CD91" s="16111"/>
      <c r="CE91" s="16111"/>
      <c r="CF91" s="16111"/>
      <c r="CG91" s="16111"/>
      <c r="CH91" s="16111"/>
      <c r="CI91" s="16112"/>
      <c r="CJ91" s="16110"/>
      <c r="CK91" s="16111"/>
      <c r="CL91" s="16111"/>
      <c r="CM91" s="16111"/>
      <c r="CN91" s="16111"/>
      <c r="CO91" s="16111"/>
      <c r="CP91" s="16111"/>
      <c r="CQ91" s="16111"/>
      <c r="CR91" s="16111"/>
      <c r="CS91" s="16111"/>
      <c r="CT91" s="16112"/>
      <c r="CU91" s="16110"/>
      <c r="CV91" s="16111"/>
      <c r="CW91" s="16111"/>
      <c r="CX91" s="16111"/>
      <c r="CY91" s="16111"/>
      <c r="CZ91" s="16111"/>
      <c r="DA91" s="16111"/>
      <c r="DB91" s="16111"/>
      <c r="DC91" s="16111"/>
      <c r="DD91" s="16111"/>
      <c r="DE91" s="16112"/>
      <c r="DF91" s="16110"/>
      <c r="DG91" s="16111"/>
      <c r="DH91" s="16111"/>
      <c r="DI91" s="16111"/>
      <c r="DJ91" s="16111"/>
      <c r="DK91" s="16111"/>
      <c r="DL91" s="16111"/>
      <c r="DM91" s="16111"/>
      <c r="DN91" s="16111"/>
      <c r="DO91" s="16111"/>
      <c r="DP91" s="16112"/>
      <c r="DQ91" s="16110"/>
      <c r="DR91" s="16111"/>
      <c r="DS91" s="16111"/>
      <c r="DT91" s="16111"/>
      <c r="DU91" s="16111"/>
      <c r="DV91" s="16111"/>
      <c r="DW91" s="16111"/>
      <c r="DX91" s="16111"/>
      <c r="DY91" s="16111"/>
      <c r="DZ91" s="16111"/>
      <c r="EA91" s="16112"/>
      <c r="EB91" s="16110"/>
      <c r="EC91" s="16111"/>
      <c r="ED91" s="16111"/>
      <c r="EE91" s="16111"/>
      <c r="EF91" s="16111"/>
      <c r="EG91" s="16111"/>
      <c r="EH91" s="16111"/>
      <c r="EI91" s="16111"/>
      <c r="EJ91" s="16111"/>
      <c r="EK91" s="16111"/>
      <c r="EL91" s="16112"/>
      <c r="EM91" s="16110"/>
      <c r="EN91" s="16111"/>
      <c r="EO91" s="16111"/>
      <c r="EP91" s="16111"/>
      <c r="EQ91" s="16111"/>
      <c r="ER91" s="16111"/>
      <c r="ES91" s="16111"/>
      <c r="ET91" s="16111"/>
      <c r="EU91" s="16111"/>
      <c r="EV91" s="16111"/>
      <c r="EW91" s="16112"/>
      <c r="EX91" s="16112"/>
      <c r="EY91" s="2511" t="s">
        <v>535</v>
      </c>
      <c r="EZ91" s="2199"/>
      <c r="FA91" s="2512"/>
      <c r="FB91" s="2512" t="str">
        <f t="shared" si="1"/>
        <v>Территория действия тарифа</v>
      </c>
      <c r="FC91" s="2512"/>
      <c r="FD91" s="2512"/>
    </row>
    <row r="92" spans="1:160" s="14699" customFormat="1" ht="23.25" customHeight="1">
      <c r="A92" s="2502"/>
      <c r="B92" s="2502"/>
      <c r="C92" s="2502" t="s">
        <v>303</v>
      </c>
      <c r="D92" s="2502"/>
      <c r="E92" s="16125"/>
      <c r="F92" s="16125" t="s">
        <v>90</v>
      </c>
      <c r="G92" s="16124">
        <v>1</v>
      </c>
      <c r="H92" s="2502"/>
      <c r="I92" s="2502"/>
      <c r="J92" s="2502"/>
      <c r="K92" s="2502"/>
      <c r="L92" s="2503"/>
      <c r="M92" s="2504"/>
      <c r="N92" s="2504"/>
      <c r="O92" s="2504"/>
      <c r="P92" s="2505"/>
      <c r="Q92" s="2506"/>
      <c r="R92" s="2507"/>
      <c r="S92" s="2508" t="str">
        <f>INDEX(PT_DIFFERENTIATION_NUM_CS,MATCH(C92,PT_DIFFERENTIATION_CS_ID,0))</f>
        <v>1.5.1</v>
      </c>
      <c r="T92" s="2509" t="s">
        <v>665</v>
      </c>
      <c r="U92" s="2510"/>
      <c r="V92" s="16110"/>
      <c r="W92" s="16111"/>
      <c r="X92" s="16111"/>
      <c r="Y92" s="16111"/>
      <c r="Z92" s="16111"/>
      <c r="AA92" s="16111"/>
      <c r="AB92" s="16111"/>
      <c r="AC92" s="16111"/>
      <c r="AD92" s="16111"/>
      <c r="AE92" s="16111"/>
      <c r="AF92" s="16112"/>
      <c r="AG92" s="16110" t="str">
        <f>INDEX(PT_DIFFERENTIATION_CS,MATCH(C92,PT_DIFFERENTIATION_CS_ID,0))</f>
        <v>с.п. Ловозеро</v>
      </c>
      <c r="AH92" s="16111"/>
      <c r="AI92" s="16111"/>
      <c r="AJ92" s="16111"/>
      <c r="AK92" s="16111"/>
      <c r="AL92" s="16111"/>
      <c r="AM92" s="16111"/>
      <c r="AN92" s="16111"/>
      <c r="AO92" s="16111"/>
      <c r="AP92" s="16111"/>
      <c r="AQ92" s="16111"/>
      <c r="AR92" s="16110"/>
      <c r="AS92" s="16111"/>
      <c r="AT92" s="16111"/>
      <c r="AU92" s="16111"/>
      <c r="AV92" s="16111"/>
      <c r="AW92" s="16111"/>
      <c r="AX92" s="16111"/>
      <c r="AY92" s="16111"/>
      <c r="AZ92" s="16111"/>
      <c r="BA92" s="16111"/>
      <c r="BB92" s="16112"/>
      <c r="BC92" s="16110"/>
      <c r="BD92" s="16111"/>
      <c r="BE92" s="16111"/>
      <c r="BF92" s="16111"/>
      <c r="BG92" s="16111"/>
      <c r="BH92" s="16111"/>
      <c r="BI92" s="16111"/>
      <c r="BJ92" s="16111"/>
      <c r="BK92" s="16111"/>
      <c r="BL92" s="16111"/>
      <c r="BM92" s="16112"/>
      <c r="BN92" s="16110"/>
      <c r="BO92" s="16111"/>
      <c r="BP92" s="16111"/>
      <c r="BQ92" s="16111"/>
      <c r="BR92" s="16111"/>
      <c r="BS92" s="16111"/>
      <c r="BT92" s="16111"/>
      <c r="BU92" s="16111"/>
      <c r="BV92" s="16111"/>
      <c r="BW92" s="16111"/>
      <c r="BX92" s="16112"/>
      <c r="BY92" s="16110"/>
      <c r="BZ92" s="16111"/>
      <c r="CA92" s="16111"/>
      <c r="CB92" s="16111"/>
      <c r="CC92" s="16111"/>
      <c r="CD92" s="16111"/>
      <c r="CE92" s="16111"/>
      <c r="CF92" s="16111"/>
      <c r="CG92" s="16111"/>
      <c r="CH92" s="16111"/>
      <c r="CI92" s="16112"/>
      <c r="CJ92" s="16110"/>
      <c r="CK92" s="16111"/>
      <c r="CL92" s="16111"/>
      <c r="CM92" s="16111"/>
      <c r="CN92" s="16111"/>
      <c r="CO92" s="16111"/>
      <c r="CP92" s="16111"/>
      <c r="CQ92" s="16111"/>
      <c r="CR92" s="16111"/>
      <c r="CS92" s="16111"/>
      <c r="CT92" s="16112"/>
      <c r="CU92" s="16110"/>
      <c r="CV92" s="16111"/>
      <c r="CW92" s="16111"/>
      <c r="CX92" s="16111"/>
      <c r="CY92" s="16111"/>
      <c r="CZ92" s="16111"/>
      <c r="DA92" s="16111"/>
      <c r="DB92" s="16111"/>
      <c r="DC92" s="16111"/>
      <c r="DD92" s="16111"/>
      <c r="DE92" s="16112"/>
      <c r="DF92" s="16110"/>
      <c r="DG92" s="16111"/>
      <c r="DH92" s="16111"/>
      <c r="DI92" s="16111"/>
      <c r="DJ92" s="16111"/>
      <c r="DK92" s="16111"/>
      <c r="DL92" s="16111"/>
      <c r="DM92" s="16111"/>
      <c r="DN92" s="16111"/>
      <c r="DO92" s="16111"/>
      <c r="DP92" s="16112"/>
      <c r="DQ92" s="16110"/>
      <c r="DR92" s="16111"/>
      <c r="DS92" s="16111"/>
      <c r="DT92" s="16111"/>
      <c r="DU92" s="16111"/>
      <c r="DV92" s="16111"/>
      <c r="DW92" s="16111"/>
      <c r="DX92" s="16111"/>
      <c r="DY92" s="16111"/>
      <c r="DZ92" s="16111"/>
      <c r="EA92" s="16112"/>
      <c r="EB92" s="16110"/>
      <c r="EC92" s="16111"/>
      <c r="ED92" s="16111"/>
      <c r="EE92" s="16111"/>
      <c r="EF92" s="16111"/>
      <c r="EG92" s="16111"/>
      <c r="EH92" s="16111"/>
      <c r="EI92" s="16111"/>
      <c r="EJ92" s="16111"/>
      <c r="EK92" s="16111"/>
      <c r="EL92" s="16112"/>
      <c r="EM92" s="16110"/>
      <c r="EN92" s="16111"/>
      <c r="EO92" s="16111"/>
      <c r="EP92" s="16111"/>
      <c r="EQ92" s="16111"/>
      <c r="ER92" s="16111"/>
      <c r="ES92" s="16111"/>
      <c r="ET92" s="16111"/>
      <c r="EU92" s="16111"/>
      <c r="EV92" s="16111"/>
      <c r="EW92" s="16112"/>
      <c r="EX92" s="16112"/>
      <c r="EY92" s="2511" t="s">
        <v>666</v>
      </c>
      <c r="EZ92" s="2199"/>
      <c r="FA92" s="2512"/>
      <c r="FB92" s="2512" t="str">
        <f t="shared" si="1"/>
        <v>Наименование централизованной системы горячего водоснабжения</v>
      </c>
      <c r="FC92" s="2512"/>
      <c r="FD92" s="2512"/>
    </row>
    <row r="93" spans="1:160" s="14700" customFormat="1" ht="23.25" customHeight="1">
      <c r="A93" s="2502"/>
      <c r="B93" s="2502"/>
      <c r="C93" s="2502"/>
      <c r="D93" s="2502"/>
      <c r="E93" s="16125"/>
      <c r="F93" s="16125" t="s">
        <v>90</v>
      </c>
      <c r="G93" s="16125"/>
      <c r="H93" s="16125"/>
      <c r="I93" s="16122" t="str">
        <f>S92&amp;".1"</f>
        <v>1.5.1.1</v>
      </c>
      <c r="J93" s="2502"/>
      <c r="K93" s="2502"/>
      <c r="L93" s="2503"/>
      <c r="M93" s="2513"/>
      <c r="N93" s="2513"/>
      <c r="O93" s="2513"/>
      <c r="P93" s="16123">
        <v>1</v>
      </c>
      <c r="Q93" s="2514"/>
      <c r="R93" s="2515"/>
      <c r="S93" s="2508" t="str">
        <f>$I93</f>
        <v>1.5.1.1</v>
      </c>
      <c r="T93" s="2516" t="s">
        <v>618</v>
      </c>
      <c r="U93" s="2510"/>
      <c r="V93" s="16183"/>
      <c r="W93" s="16184"/>
      <c r="X93" s="16184"/>
      <c r="Y93" s="16184"/>
      <c r="Z93" s="16184"/>
      <c r="AA93" s="16184"/>
      <c r="AB93" s="16184"/>
      <c r="AC93" s="16184"/>
      <c r="AD93" s="16184"/>
      <c r="AE93" s="16184"/>
      <c r="AF93" s="16185"/>
      <c r="AG93" s="16186"/>
      <c r="AH93" s="16187"/>
      <c r="AI93" s="16187"/>
      <c r="AJ93" s="16187"/>
      <c r="AK93" s="16187"/>
      <c r="AL93" s="16187"/>
      <c r="AM93" s="16187"/>
      <c r="AN93" s="16187"/>
      <c r="AO93" s="16187"/>
      <c r="AP93" s="16187"/>
      <c r="AQ93" s="16187"/>
      <c r="AR93" s="16183"/>
      <c r="AS93" s="16184"/>
      <c r="AT93" s="16184"/>
      <c r="AU93" s="16184"/>
      <c r="AV93" s="16184"/>
      <c r="AW93" s="16184"/>
      <c r="AX93" s="16184"/>
      <c r="AY93" s="16184"/>
      <c r="AZ93" s="16184"/>
      <c r="BA93" s="16184"/>
      <c r="BB93" s="16185"/>
      <c r="BC93" s="16183"/>
      <c r="BD93" s="16184"/>
      <c r="BE93" s="16184"/>
      <c r="BF93" s="16184"/>
      <c r="BG93" s="16184"/>
      <c r="BH93" s="16184"/>
      <c r="BI93" s="16184"/>
      <c r="BJ93" s="16184"/>
      <c r="BK93" s="16184"/>
      <c r="BL93" s="16184"/>
      <c r="BM93" s="16185"/>
      <c r="BN93" s="16183"/>
      <c r="BO93" s="16184"/>
      <c r="BP93" s="16184"/>
      <c r="BQ93" s="16184"/>
      <c r="BR93" s="16184"/>
      <c r="BS93" s="16184"/>
      <c r="BT93" s="16184"/>
      <c r="BU93" s="16184"/>
      <c r="BV93" s="16184"/>
      <c r="BW93" s="16184"/>
      <c r="BX93" s="16185"/>
      <c r="BY93" s="16183"/>
      <c r="BZ93" s="16184"/>
      <c r="CA93" s="16184"/>
      <c r="CB93" s="16184"/>
      <c r="CC93" s="16184"/>
      <c r="CD93" s="16184"/>
      <c r="CE93" s="16184"/>
      <c r="CF93" s="16184"/>
      <c r="CG93" s="16184"/>
      <c r="CH93" s="16184"/>
      <c r="CI93" s="16185"/>
      <c r="CJ93" s="16183"/>
      <c r="CK93" s="16184"/>
      <c r="CL93" s="16184"/>
      <c r="CM93" s="16184"/>
      <c r="CN93" s="16184"/>
      <c r="CO93" s="16184"/>
      <c r="CP93" s="16184"/>
      <c r="CQ93" s="16184"/>
      <c r="CR93" s="16184"/>
      <c r="CS93" s="16184"/>
      <c r="CT93" s="16185"/>
      <c r="CU93" s="16183"/>
      <c r="CV93" s="16184"/>
      <c r="CW93" s="16184"/>
      <c r="CX93" s="16184"/>
      <c r="CY93" s="16184"/>
      <c r="CZ93" s="16184"/>
      <c r="DA93" s="16184"/>
      <c r="DB93" s="16184"/>
      <c r="DC93" s="16184"/>
      <c r="DD93" s="16184"/>
      <c r="DE93" s="16185"/>
      <c r="DF93" s="16183"/>
      <c r="DG93" s="16184"/>
      <c r="DH93" s="16184"/>
      <c r="DI93" s="16184"/>
      <c r="DJ93" s="16184"/>
      <c r="DK93" s="16184"/>
      <c r="DL93" s="16184"/>
      <c r="DM93" s="16184"/>
      <c r="DN93" s="16184"/>
      <c r="DO93" s="16184"/>
      <c r="DP93" s="16185"/>
      <c r="DQ93" s="16183"/>
      <c r="DR93" s="16184"/>
      <c r="DS93" s="16184"/>
      <c r="DT93" s="16184"/>
      <c r="DU93" s="16184"/>
      <c r="DV93" s="16184"/>
      <c r="DW93" s="16184"/>
      <c r="DX93" s="16184"/>
      <c r="DY93" s="16184"/>
      <c r="DZ93" s="16184"/>
      <c r="EA93" s="16185"/>
      <c r="EB93" s="16183"/>
      <c r="EC93" s="16184"/>
      <c r="ED93" s="16184"/>
      <c r="EE93" s="16184"/>
      <c r="EF93" s="16184"/>
      <c r="EG93" s="16184"/>
      <c r="EH93" s="16184"/>
      <c r="EI93" s="16184"/>
      <c r="EJ93" s="16184"/>
      <c r="EK93" s="16184"/>
      <c r="EL93" s="16185"/>
      <c r="EM93" s="16183"/>
      <c r="EN93" s="16184"/>
      <c r="EO93" s="16184"/>
      <c r="EP93" s="16184"/>
      <c r="EQ93" s="16184"/>
      <c r="ER93" s="16184"/>
      <c r="ES93" s="16184"/>
      <c r="ET93" s="16184"/>
      <c r="EU93" s="16184"/>
      <c r="EV93" s="16184"/>
      <c r="EW93" s="16185"/>
      <c r="EX93" s="16188"/>
      <c r="EY93" s="2511" t="s">
        <v>619</v>
      </c>
      <c r="EZ93" s="2199"/>
      <c r="FA93" s="2512"/>
      <c r="FB93" s="2512" t="str">
        <f t="shared" si="1"/>
        <v>Наименование признака дифференциации</v>
      </c>
      <c r="FC93" s="2512"/>
      <c r="FD93" s="2512"/>
    </row>
    <row r="94" spans="1:160" s="14701" customFormat="1" ht="23.25" customHeight="1">
      <c r="A94" s="2502"/>
      <c r="B94" s="2502"/>
      <c r="C94" s="2502"/>
      <c r="D94" s="2502"/>
      <c r="E94" s="16125"/>
      <c r="F94" s="16125" t="s">
        <v>90</v>
      </c>
      <c r="G94" s="16125"/>
      <c r="H94" s="16125"/>
      <c r="I94" s="16145"/>
      <c r="J94" s="16122" t="str">
        <f>I93&amp;".1"</f>
        <v>1.5.1.1.1</v>
      </c>
      <c r="K94" s="2502"/>
      <c r="L94" s="2503" t="s">
        <v>543</v>
      </c>
      <c r="M94" s="2513"/>
      <c r="N94" s="2513"/>
      <c r="O94" s="2513"/>
      <c r="P94" s="16123"/>
      <c r="Q94" s="16123">
        <v>1</v>
      </c>
      <c r="R94" s="2517"/>
      <c r="S94" s="2508" t="str">
        <f>$J94</f>
        <v>1.5.1.1.1</v>
      </c>
      <c r="T94" s="2518" t="s">
        <v>544</v>
      </c>
      <c r="U94" s="2510"/>
      <c r="V94" s="16113"/>
      <c r="W94" s="16114"/>
      <c r="X94" s="16114"/>
      <c r="Y94" s="16114"/>
      <c r="Z94" s="16114"/>
      <c r="AA94" s="16114"/>
      <c r="AB94" s="16114"/>
      <c r="AC94" s="16114"/>
      <c r="AD94" s="16114"/>
      <c r="AE94" s="16114"/>
      <c r="AF94" s="16115"/>
      <c r="AG94" s="16113" t="s">
        <v>678</v>
      </c>
      <c r="AH94" s="16114"/>
      <c r="AI94" s="16114"/>
      <c r="AJ94" s="16114"/>
      <c r="AK94" s="16114"/>
      <c r="AL94" s="16114"/>
      <c r="AM94" s="16114"/>
      <c r="AN94" s="16114"/>
      <c r="AO94" s="16114"/>
      <c r="AP94" s="16114"/>
      <c r="AQ94" s="16114"/>
      <c r="AR94" s="16113"/>
      <c r="AS94" s="16114"/>
      <c r="AT94" s="16114"/>
      <c r="AU94" s="16114"/>
      <c r="AV94" s="16114"/>
      <c r="AW94" s="16114"/>
      <c r="AX94" s="16114"/>
      <c r="AY94" s="16114"/>
      <c r="AZ94" s="16114"/>
      <c r="BA94" s="16114"/>
      <c r="BB94" s="16115"/>
      <c r="BC94" s="16113"/>
      <c r="BD94" s="16114"/>
      <c r="BE94" s="16114"/>
      <c r="BF94" s="16114"/>
      <c r="BG94" s="16114"/>
      <c r="BH94" s="16114"/>
      <c r="BI94" s="16114"/>
      <c r="BJ94" s="16114"/>
      <c r="BK94" s="16114"/>
      <c r="BL94" s="16114"/>
      <c r="BM94" s="16115"/>
      <c r="BN94" s="16113"/>
      <c r="BO94" s="16114"/>
      <c r="BP94" s="16114"/>
      <c r="BQ94" s="16114"/>
      <c r="BR94" s="16114"/>
      <c r="BS94" s="16114"/>
      <c r="BT94" s="16114"/>
      <c r="BU94" s="16114"/>
      <c r="BV94" s="16114"/>
      <c r="BW94" s="16114"/>
      <c r="BX94" s="16115"/>
      <c r="BY94" s="16113"/>
      <c r="BZ94" s="16114"/>
      <c r="CA94" s="16114"/>
      <c r="CB94" s="16114"/>
      <c r="CC94" s="16114"/>
      <c r="CD94" s="16114"/>
      <c r="CE94" s="16114"/>
      <c r="CF94" s="16114"/>
      <c r="CG94" s="16114"/>
      <c r="CH94" s="16114"/>
      <c r="CI94" s="16115"/>
      <c r="CJ94" s="16113"/>
      <c r="CK94" s="16114"/>
      <c r="CL94" s="16114"/>
      <c r="CM94" s="16114"/>
      <c r="CN94" s="16114"/>
      <c r="CO94" s="16114"/>
      <c r="CP94" s="16114"/>
      <c r="CQ94" s="16114"/>
      <c r="CR94" s="16114"/>
      <c r="CS94" s="16114"/>
      <c r="CT94" s="16115"/>
      <c r="CU94" s="16113"/>
      <c r="CV94" s="16114"/>
      <c r="CW94" s="16114"/>
      <c r="CX94" s="16114"/>
      <c r="CY94" s="16114"/>
      <c r="CZ94" s="16114"/>
      <c r="DA94" s="16114"/>
      <c r="DB94" s="16114"/>
      <c r="DC94" s="16114"/>
      <c r="DD94" s="16114"/>
      <c r="DE94" s="16115"/>
      <c r="DF94" s="16113"/>
      <c r="DG94" s="16114"/>
      <c r="DH94" s="16114"/>
      <c r="DI94" s="16114"/>
      <c r="DJ94" s="16114"/>
      <c r="DK94" s="16114"/>
      <c r="DL94" s="16114"/>
      <c r="DM94" s="16114"/>
      <c r="DN94" s="16114"/>
      <c r="DO94" s="16114"/>
      <c r="DP94" s="16115"/>
      <c r="DQ94" s="16113"/>
      <c r="DR94" s="16114"/>
      <c r="DS94" s="16114"/>
      <c r="DT94" s="16114"/>
      <c r="DU94" s="16114"/>
      <c r="DV94" s="16114"/>
      <c r="DW94" s="16114"/>
      <c r="DX94" s="16114"/>
      <c r="DY94" s="16114"/>
      <c r="DZ94" s="16114"/>
      <c r="EA94" s="16115"/>
      <c r="EB94" s="16113"/>
      <c r="EC94" s="16114"/>
      <c r="ED94" s="16114"/>
      <c r="EE94" s="16114"/>
      <c r="EF94" s="16114"/>
      <c r="EG94" s="16114"/>
      <c r="EH94" s="16114"/>
      <c r="EI94" s="16114"/>
      <c r="EJ94" s="16114"/>
      <c r="EK94" s="16114"/>
      <c r="EL94" s="16115"/>
      <c r="EM94" s="16113"/>
      <c r="EN94" s="16114"/>
      <c r="EO94" s="16114"/>
      <c r="EP94" s="16114"/>
      <c r="EQ94" s="16114"/>
      <c r="ER94" s="16114"/>
      <c r="ES94" s="16114"/>
      <c r="ET94" s="16114"/>
      <c r="EU94" s="16114"/>
      <c r="EV94" s="16114"/>
      <c r="EW94" s="16115"/>
      <c r="EX94" s="16115"/>
      <c r="EY94" s="2519" t="s">
        <v>620</v>
      </c>
      <c r="EZ94" s="2199"/>
      <c r="FA94" s="2512"/>
      <c r="FB94" s="2512" t="str">
        <f t="shared" si="1"/>
        <v>Группа потребителей</v>
      </c>
      <c r="FC94" s="2512"/>
      <c r="FD94" s="2512"/>
    </row>
    <row r="95" spans="1:160" s="14702" customFormat="1" ht="23.25" customHeight="1">
      <c r="A95" s="2502"/>
      <c r="B95" s="2502"/>
      <c r="C95" s="2502"/>
      <c r="D95" s="2502"/>
      <c r="E95" s="16125"/>
      <c r="F95" s="16125" t="s">
        <v>90</v>
      </c>
      <c r="G95" s="16125"/>
      <c r="H95" s="16125"/>
      <c r="I95" s="16145"/>
      <c r="J95" s="16145"/>
      <c r="K95" s="16122" t="str">
        <f>J94&amp;".1"</f>
        <v>1.5.1.1.1.1</v>
      </c>
      <c r="L95" s="2503"/>
      <c r="M95" s="2513"/>
      <c r="N95" s="2513"/>
      <c r="O95" s="2513"/>
      <c r="P95" s="16123"/>
      <c r="Q95" s="16123"/>
      <c r="R95" s="2517">
        <v>1</v>
      </c>
      <c r="S95" s="2508" t="str">
        <f>$K95</f>
        <v>1.5.1.1.1.1</v>
      </c>
      <c r="T95" s="2520"/>
      <c r="U95" s="2510"/>
      <c r="V95" s="1893"/>
      <c r="W95" s="1893"/>
      <c r="X95" s="1893"/>
      <c r="Y95" s="1893"/>
      <c r="Z95" s="1893"/>
      <c r="AA95" s="1893"/>
      <c r="AB95" s="1893"/>
      <c r="AC95" s="16127"/>
      <c r="AD95" s="15973" t="s">
        <v>66</v>
      </c>
      <c r="AE95" s="16127"/>
      <c r="AF95" s="15973" t="s">
        <v>66</v>
      </c>
      <c r="AG95" s="1893">
        <v>37.630000000000003</v>
      </c>
      <c r="AH95" s="1893"/>
      <c r="AI95" s="1893"/>
      <c r="AJ95" s="1893"/>
      <c r="AK95" s="1893">
        <v>3833.19</v>
      </c>
      <c r="AL95" s="1893"/>
      <c r="AM95" s="1893"/>
      <c r="AN95" s="16127">
        <v>45292</v>
      </c>
      <c r="AO95" s="15973" t="s">
        <v>66</v>
      </c>
      <c r="AP95" s="16146">
        <v>45378</v>
      </c>
      <c r="AQ95" s="15973" t="s">
        <v>66</v>
      </c>
      <c r="AR95" s="1893">
        <v>37.630000000000003</v>
      </c>
      <c r="AS95" s="1893"/>
      <c r="AT95" s="1893"/>
      <c r="AU95" s="1893"/>
      <c r="AV95" s="1893">
        <v>3833.19</v>
      </c>
      <c r="AW95" s="1893"/>
      <c r="AX95" s="1893"/>
      <c r="AY95" s="16127">
        <v>45379</v>
      </c>
      <c r="AZ95" s="15973" t="s">
        <v>66</v>
      </c>
      <c r="BA95" s="16127">
        <v>45473</v>
      </c>
      <c r="BB95" s="15973" t="s">
        <v>66</v>
      </c>
      <c r="BC95" s="1893">
        <v>42.26</v>
      </c>
      <c r="BD95" s="1893"/>
      <c r="BE95" s="1893"/>
      <c r="BF95" s="1893"/>
      <c r="BG95" s="1893">
        <v>4000</v>
      </c>
      <c r="BH95" s="1893"/>
      <c r="BI95" s="1893"/>
      <c r="BJ95" s="16127">
        <v>45474</v>
      </c>
      <c r="BK95" s="15973" t="s">
        <v>66</v>
      </c>
      <c r="BL95" s="16127">
        <v>45657</v>
      </c>
      <c r="BM95" s="15973" t="s">
        <v>66</v>
      </c>
      <c r="BN95" s="1893">
        <v>39.4</v>
      </c>
      <c r="BO95" s="1893"/>
      <c r="BP95" s="1893"/>
      <c r="BQ95" s="1893"/>
      <c r="BR95" s="1893">
        <v>4000</v>
      </c>
      <c r="BS95" s="1893"/>
      <c r="BT95" s="1893"/>
      <c r="BU95" s="16127">
        <v>45658</v>
      </c>
      <c r="BV95" s="15973" t="s">
        <v>66</v>
      </c>
      <c r="BW95" s="16127">
        <v>45838</v>
      </c>
      <c r="BX95" s="15973" t="s">
        <v>66</v>
      </c>
      <c r="BY95" s="1893">
        <v>40.98</v>
      </c>
      <c r="BZ95" s="1893"/>
      <c r="CA95" s="1893"/>
      <c r="CB95" s="1893"/>
      <c r="CC95" s="1893">
        <v>4168</v>
      </c>
      <c r="CD95" s="1893"/>
      <c r="CE95" s="1893"/>
      <c r="CF95" s="16127">
        <v>45839</v>
      </c>
      <c r="CG95" s="15973" t="s">
        <v>66</v>
      </c>
      <c r="CH95" s="16127">
        <v>46022</v>
      </c>
      <c r="CI95" s="15973" t="s">
        <v>66</v>
      </c>
      <c r="CJ95" s="1893">
        <v>40.98</v>
      </c>
      <c r="CK95" s="1893"/>
      <c r="CL95" s="1893"/>
      <c r="CM95" s="1893"/>
      <c r="CN95" s="1893">
        <v>4168</v>
      </c>
      <c r="CO95" s="1893"/>
      <c r="CP95" s="1893"/>
      <c r="CQ95" s="16127">
        <v>46023</v>
      </c>
      <c r="CR95" s="15973" t="s">
        <v>66</v>
      </c>
      <c r="CS95" s="16127">
        <v>46203</v>
      </c>
      <c r="CT95" s="15973" t="s">
        <v>66</v>
      </c>
      <c r="CU95" s="1893">
        <v>42.61</v>
      </c>
      <c r="CV95" s="1893"/>
      <c r="CW95" s="1893"/>
      <c r="CX95" s="1893"/>
      <c r="CY95" s="1893">
        <v>4334.72</v>
      </c>
      <c r="CZ95" s="1893"/>
      <c r="DA95" s="1893"/>
      <c r="DB95" s="16127">
        <v>46204</v>
      </c>
      <c r="DC95" s="15973" t="s">
        <v>66</v>
      </c>
      <c r="DD95" s="16127">
        <v>46387</v>
      </c>
      <c r="DE95" s="15973" t="s">
        <v>66</v>
      </c>
      <c r="DF95" s="1893">
        <v>42.61</v>
      </c>
      <c r="DG95" s="1893"/>
      <c r="DH95" s="1893"/>
      <c r="DI95" s="1893"/>
      <c r="DJ95" s="1893">
        <v>4334.72</v>
      </c>
      <c r="DK95" s="1893"/>
      <c r="DL95" s="1893"/>
      <c r="DM95" s="16127">
        <v>46388</v>
      </c>
      <c r="DN95" s="15973" t="s">
        <v>66</v>
      </c>
      <c r="DO95" s="16127">
        <v>46568</v>
      </c>
      <c r="DP95" s="15973" t="s">
        <v>66</v>
      </c>
      <c r="DQ95" s="1893">
        <v>44.32</v>
      </c>
      <c r="DR95" s="1893"/>
      <c r="DS95" s="1893"/>
      <c r="DT95" s="1893"/>
      <c r="DU95" s="1893">
        <v>4508.1099999999997</v>
      </c>
      <c r="DV95" s="1893"/>
      <c r="DW95" s="1893"/>
      <c r="DX95" s="16127">
        <v>46569</v>
      </c>
      <c r="DY95" s="15973" t="s">
        <v>66</v>
      </c>
      <c r="DZ95" s="16127">
        <v>46752</v>
      </c>
      <c r="EA95" s="15973" t="s">
        <v>66</v>
      </c>
      <c r="EB95" s="1893">
        <v>44.32</v>
      </c>
      <c r="EC95" s="1893"/>
      <c r="ED95" s="1893"/>
      <c r="EE95" s="1893"/>
      <c r="EF95" s="1893">
        <v>4508.1099999999997</v>
      </c>
      <c r="EG95" s="1893"/>
      <c r="EH95" s="1893"/>
      <c r="EI95" s="16127">
        <v>46753</v>
      </c>
      <c r="EJ95" s="15973" t="s">
        <v>66</v>
      </c>
      <c r="EK95" s="16127">
        <v>46934</v>
      </c>
      <c r="EL95" s="15973" t="s">
        <v>66</v>
      </c>
      <c r="EM95" s="14448">
        <v>46.09</v>
      </c>
      <c r="EN95" s="14448"/>
      <c r="EO95" s="14448"/>
      <c r="EP95" s="14448"/>
      <c r="EQ95" s="14448">
        <v>4688.43</v>
      </c>
      <c r="ER95" s="14448"/>
      <c r="ES95" s="14448"/>
      <c r="ET95" s="16127">
        <v>46935</v>
      </c>
      <c r="EU95" s="15973" t="s">
        <v>66</v>
      </c>
      <c r="EV95" s="16127">
        <v>47118</v>
      </c>
      <c r="EW95" s="15973" t="s">
        <v>66</v>
      </c>
      <c r="EX95" s="2521"/>
      <c r="EY95"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95" s="2199" t="e">
        <f ca="1">STRCHECKDATE(V96:EX96)</f>
        <v>#NAME?</v>
      </c>
      <c r="FA95" s="2512"/>
      <c r="FB95" s="2512" t="str">
        <f t="shared" si="1"/>
        <v/>
      </c>
      <c r="FC95" s="2512"/>
      <c r="FD95" s="2512"/>
    </row>
    <row r="96" spans="1:160" s="14703" customFormat="1" ht="14.25" customHeight="1">
      <c r="A96" s="2502"/>
      <c r="B96" s="2502"/>
      <c r="C96" s="2502"/>
      <c r="D96" s="2502"/>
      <c r="E96" s="16125"/>
      <c r="F96" s="16125" t="s">
        <v>90</v>
      </c>
      <c r="G96" s="16125"/>
      <c r="H96" s="16125"/>
      <c r="I96" s="16145"/>
      <c r="J96" s="16145"/>
      <c r="K96" s="16122"/>
      <c r="L96" s="2503"/>
      <c r="M96" s="2513"/>
      <c r="N96" s="2513"/>
      <c r="O96" s="2513"/>
      <c r="P96" s="16123"/>
      <c r="Q96" s="16123"/>
      <c r="R96" s="2517"/>
      <c r="S96" s="2522"/>
      <c r="T96" s="2510"/>
      <c r="U96" s="2510"/>
      <c r="V96" s="1894"/>
      <c r="W96" s="1894"/>
      <c r="X96" s="1894"/>
      <c r="Y96" s="1894"/>
      <c r="Z96" s="1894"/>
      <c r="AA96" s="1894"/>
      <c r="AB96" s="1894"/>
      <c r="AC96" s="16128"/>
      <c r="AD96" s="15973"/>
      <c r="AE96" s="16128"/>
      <c r="AF96" s="15973"/>
      <c r="AG96" s="1894"/>
      <c r="AH96" s="1894"/>
      <c r="AI96" s="1894"/>
      <c r="AJ96" s="1894"/>
      <c r="AK96" s="1894"/>
      <c r="AL96" s="1894"/>
      <c r="AM96" s="1894"/>
      <c r="AN96" s="16128"/>
      <c r="AO96" s="15973"/>
      <c r="AP96" s="16147"/>
      <c r="AQ96" s="15973"/>
      <c r="AR96" s="1894"/>
      <c r="AS96" s="1894"/>
      <c r="AT96" s="1894"/>
      <c r="AU96" s="1894"/>
      <c r="AV96" s="1894"/>
      <c r="AW96" s="1894"/>
      <c r="AX96" s="1894"/>
      <c r="AY96" s="16128"/>
      <c r="AZ96" s="15973"/>
      <c r="BA96" s="16128"/>
      <c r="BB96" s="15973"/>
      <c r="BC96" s="1894"/>
      <c r="BD96" s="1894"/>
      <c r="BE96" s="1894"/>
      <c r="BF96" s="1894"/>
      <c r="BG96" s="1894"/>
      <c r="BH96" s="1894"/>
      <c r="BI96" s="1894"/>
      <c r="BJ96" s="16128"/>
      <c r="BK96" s="15973"/>
      <c r="BL96" s="16128"/>
      <c r="BM96" s="15973"/>
      <c r="BN96" s="1894"/>
      <c r="BO96" s="1894"/>
      <c r="BP96" s="1894"/>
      <c r="BQ96" s="1894"/>
      <c r="BR96" s="1894"/>
      <c r="BS96" s="1894"/>
      <c r="BT96" s="1894"/>
      <c r="BU96" s="16128"/>
      <c r="BV96" s="15973"/>
      <c r="BW96" s="16128"/>
      <c r="BX96" s="15973"/>
      <c r="BY96" s="1894"/>
      <c r="BZ96" s="1894"/>
      <c r="CA96" s="1894"/>
      <c r="CB96" s="1894"/>
      <c r="CC96" s="1894"/>
      <c r="CD96" s="1894"/>
      <c r="CE96" s="1894"/>
      <c r="CF96" s="16128"/>
      <c r="CG96" s="15973"/>
      <c r="CH96" s="16128"/>
      <c r="CI96" s="15973"/>
      <c r="CJ96" s="1894"/>
      <c r="CK96" s="1894"/>
      <c r="CL96" s="1894"/>
      <c r="CM96" s="1894"/>
      <c r="CN96" s="1894"/>
      <c r="CO96" s="1894"/>
      <c r="CP96" s="1894"/>
      <c r="CQ96" s="16128"/>
      <c r="CR96" s="15973"/>
      <c r="CS96" s="16128"/>
      <c r="CT96" s="15973"/>
      <c r="CU96" s="1894"/>
      <c r="CV96" s="1894"/>
      <c r="CW96" s="1894"/>
      <c r="CX96" s="1894"/>
      <c r="CY96" s="1894"/>
      <c r="CZ96" s="1894"/>
      <c r="DA96" s="1894"/>
      <c r="DB96" s="16128"/>
      <c r="DC96" s="15973"/>
      <c r="DD96" s="16128"/>
      <c r="DE96" s="15973"/>
      <c r="DF96" s="1894"/>
      <c r="DG96" s="1894"/>
      <c r="DH96" s="1894"/>
      <c r="DI96" s="1894"/>
      <c r="DJ96" s="1894"/>
      <c r="DK96" s="1894"/>
      <c r="DL96" s="1894"/>
      <c r="DM96" s="16128"/>
      <c r="DN96" s="15973"/>
      <c r="DO96" s="16128"/>
      <c r="DP96" s="15973"/>
      <c r="DQ96" s="1894"/>
      <c r="DR96" s="1894"/>
      <c r="DS96" s="1894"/>
      <c r="DT96" s="1894"/>
      <c r="DU96" s="1894"/>
      <c r="DV96" s="1894"/>
      <c r="DW96" s="1894"/>
      <c r="DX96" s="16128"/>
      <c r="DY96" s="15973"/>
      <c r="DZ96" s="16128"/>
      <c r="EA96" s="15973"/>
      <c r="EB96" s="1894"/>
      <c r="EC96" s="1894"/>
      <c r="ED96" s="1894"/>
      <c r="EE96" s="1894"/>
      <c r="EF96" s="1894"/>
      <c r="EG96" s="1894"/>
      <c r="EH96" s="1894"/>
      <c r="EI96" s="16128"/>
      <c r="EJ96" s="15973"/>
      <c r="EK96" s="16128"/>
      <c r="EL96" s="15973"/>
      <c r="EM96" s="14449"/>
      <c r="EN96" s="14449"/>
      <c r="EO96" s="14449"/>
      <c r="EP96" s="14449"/>
      <c r="EQ96" s="14449"/>
      <c r="ER96" s="14449"/>
      <c r="ES96" s="14449"/>
      <c r="ET96" s="16128"/>
      <c r="EU96" s="15973"/>
      <c r="EV96" s="16128"/>
      <c r="EW96" s="15973"/>
      <c r="EX96" s="2523"/>
      <c r="EY96" s="16182"/>
      <c r="EZ96" s="2199"/>
      <c r="FA96" s="2512"/>
      <c r="FB96" s="2512" t="str">
        <f t="shared" si="1"/>
        <v/>
      </c>
      <c r="FC96" s="2512"/>
      <c r="FD96" s="2512"/>
    </row>
    <row r="97" spans="1:160" s="14704" customFormat="1" ht="21" customHeight="1">
      <c r="A97" s="2502"/>
      <c r="B97" s="2502"/>
      <c r="C97" s="2502"/>
      <c r="D97" s="2502"/>
      <c r="E97" s="16125"/>
      <c r="F97" s="16125" t="s">
        <v>90</v>
      </c>
      <c r="G97" s="16125"/>
      <c r="H97" s="16125"/>
      <c r="I97" s="16145"/>
      <c r="J97" s="16122"/>
      <c r="K97" s="2502"/>
      <c r="L97" s="2503"/>
      <c r="M97" s="2513"/>
      <c r="N97" s="2513"/>
      <c r="O97" s="2513"/>
      <c r="P97" s="16123"/>
      <c r="Q97" s="16123"/>
      <c r="R97" s="2515"/>
      <c r="S97" s="4044"/>
      <c r="T97" s="4045" t="s">
        <v>621</v>
      </c>
      <c r="U97" s="4046"/>
      <c r="V97" s="4047"/>
      <c r="W97" s="4048"/>
      <c r="X97" s="4049"/>
      <c r="Y97" s="4050"/>
      <c r="Z97" s="4051"/>
      <c r="AA97" s="4052"/>
      <c r="AB97" s="4053"/>
      <c r="AC97" s="4054"/>
      <c r="AD97" s="4055"/>
      <c r="AE97" s="4056"/>
      <c r="AF97" s="4057"/>
      <c r="AG97" s="4058"/>
      <c r="AH97" s="4059"/>
      <c r="AI97" s="4060"/>
      <c r="AJ97" s="4061"/>
      <c r="AK97" s="4062"/>
      <c r="AL97" s="4063"/>
      <c r="AM97" s="4064"/>
      <c r="AN97" s="4065"/>
      <c r="AO97" s="4066"/>
      <c r="AP97" s="4067"/>
      <c r="AQ97" s="4068"/>
      <c r="AR97" s="4069"/>
      <c r="AS97" s="4070"/>
      <c r="AT97" s="4071"/>
      <c r="AU97" s="4072"/>
      <c r="AV97" s="4073"/>
      <c r="AW97" s="4074"/>
      <c r="AX97" s="4075"/>
      <c r="AY97" s="4076"/>
      <c r="AZ97" s="4077"/>
      <c r="BA97" s="4078"/>
      <c r="BB97" s="4079"/>
      <c r="BC97" s="4080"/>
      <c r="BD97" s="4081"/>
      <c r="BE97" s="4082"/>
      <c r="BF97" s="4083"/>
      <c r="BG97" s="4084"/>
      <c r="BH97" s="4085"/>
      <c r="BI97" s="4086"/>
      <c r="BJ97" s="4087"/>
      <c r="BK97" s="4088"/>
      <c r="BL97" s="4089"/>
      <c r="BM97" s="4090"/>
      <c r="BN97" s="4091"/>
      <c r="BO97" s="4092"/>
      <c r="BP97" s="4093"/>
      <c r="BQ97" s="4094"/>
      <c r="BR97" s="4095"/>
      <c r="BS97" s="4096"/>
      <c r="BT97" s="4097"/>
      <c r="BU97" s="4098"/>
      <c r="BV97" s="4099"/>
      <c r="BW97" s="4100"/>
      <c r="BX97" s="4101"/>
      <c r="BY97" s="4102"/>
      <c r="BZ97" s="4103"/>
      <c r="CA97" s="4104"/>
      <c r="CB97" s="4105"/>
      <c r="CC97" s="4106"/>
      <c r="CD97" s="4107"/>
      <c r="CE97" s="4108"/>
      <c r="CF97" s="4109"/>
      <c r="CG97" s="4110"/>
      <c r="CH97" s="4111"/>
      <c r="CI97" s="4112"/>
      <c r="CJ97" s="4113"/>
      <c r="CK97" s="4114"/>
      <c r="CL97" s="4115"/>
      <c r="CM97" s="4116"/>
      <c r="CN97" s="4117"/>
      <c r="CO97" s="4118"/>
      <c r="CP97" s="4119"/>
      <c r="CQ97" s="4120"/>
      <c r="CR97" s="4121"/>
      <c r="CS97" s="4122"/>
      <c r="CT97" s="4123"/>
      <c r="CU97" s="4124"/>
      <c r="CV97" s="4125"/>
      <c r="CW97" s="4126"/>
      <c r="CX97" s="4127"/>
      <c r="CY97" s="4128"/>
      <c r="CZ97" s="4129"/>
      <c r="DA97" s="4130"/>
      <c r="DB97" s="4131"/>
      <c r="DC97" s="4132"/>
      <c r="DD97" s="4133"/>
      <c r="DE97" s="4134"/>
      <c r="DF97" s="4135"/>
      <c r="DG97" s="4136"/>
      <c r="DH97" s="4137"/>
      <c r="DI97" s="4138"/>
      <c r="DJ97" s="4139"/>
      <c r="DK97" s="4140"/>
      <c r="DL97" s="4141"/>
      <c r="DM97" s="4142"/>
      <c r="DN97" s="4143"/>
      <c r="DO97" s="4144"/>
      <c r="DP97" s="4145"/>
      <c r="DQ97" s="4146"/>
      <c r="DR97" s="4147"/>
      <c r="DS97" s="4148"/>
      <c r="DT97" s="4149"/>
      <c r="DU97" s="4150"/>
      <c r="DV97" s="4151"/>
      <c r="DW97" s="4152"/>
      <c r="DX97" s="4153"/>
      <c r="DY97" s="4154"/>
      <c r="DZ97" s="4155"/>
      <c r="EA97" s="4156"/>
      <c r="EB97" s="4157"/>
      <c r="EC97" s="4158"/>
      <c r="ED97" s="4159"/>
      <c r="EE97" s="4160"/>
      <c r="EF97" s="4161"/>
      <c r="EG97" s="4162"/>
      <c r="EH97" s="4163"/>
      <c r="EI97" s="4164"/>
      <c r="EJ97" s="4165"/>
      <c r="EK97" s="4166"/>
      <c r="EL97" s="4167"/>
      <c r="EM97" s="14705"/>
      <c r="EN97" s="14706"/>
      <c r="EO97" s="14707"/>
      <c r="EP97" s="14708"/>
      <c r="EQ97" s="14709"/>
      <c r="ER97" s="14710"/>
      <c r="ES97" s="14711"/>
      <c r="ET97" s="14712"/>
      <c r="EU97" s="14713"/>
      <c r="EV97" s="14714"/>
      <c r="EW97" s="14715"/>
      <c r="EX97" s="4168"/>
      <c r="EY97" s="2511" t="s">
        <v>622</v>
      </c>
      <c r="EZ97" s="2199"/>
      <c r="FA97" s="2512"/>
      <c r="FB97" s="2512" t="str">
        <f t="shared" si="1"/>
        <v>Добавить значение признака дифференциации</v>
      </c>
      <c r="FC97" s="2512"/>
      <c r="FD97" s="2512"/>
    </row>
    <row r="98" spans="1:160" s="14716" customFormat="1" ht="21" customHeight="1">
      <c r="A98" s="2502"/>
      <c r="B98" s="2502"/>
      <c r="C98" s="2502"/>
      <c r="D98" s="2502"/>
      <c r="E98" s="16125"/>
      <c r="F98" s="16125" t="s">
        <v>90</v>
      </c>
      <c r="G98" s="16125"/>
      <c r="H98" s="16125"/>
      <c r="I98" s="16122"/>
      <c r="J98" s="2502"/>
      <c r="K98" s="2502"/>
      <c r="L98" s="2503"/>
      <c r="M98" s="2513"/>
      <c r="N98" s="2513"/>
      <c r="O98" s="2513"/>
      <c r="P98" s="16123"/>
      <c r="Q98" s="2514"/>
      <c r="R98" s="2515"/>
      <c r="S98" s="4169"/>
      <c r="T98" s="4170" t="s">
        <v>549</v>
      </c>
      <c r="U98" s="4171"/>
      <c r="V98" s="4172"/>
      <c r="W98" s="4173"/>
      <c r="X98" s="4174"/>
      <c r="Y98" s="4175"/>
      <c r="Z98" s="4176"/>
      <c r="AA98" s="4177"/>
      <c r="AB98" s="4178"/>
      <c r="AC98" s="4179"/>
      <c r="AD98" s="4180"/>
      <c r="AE98" s="4181"/>
      <c r="AF98" s="4182"/>
      <c r="AG98" s="4183"/>
      <c r="AH98" s="4184"/>
      <c r="AI98" s="4185"/>
      <c r="AJ98" s="4186"/>
      <c r="AK98" s="4187"/>
      <c r="AL98" s="4188"/>
      <c r="AM98" s="4189"/>
      <c r="AN98" s="4190"/>
      <c r="AO98" s="4191"/>
      <c r="AP98" s="4192"/>
      <c r="AQ98" s="4193"/>
      <c r="AR98" s="4194"/>
      <c r="AS98" s="4195"/>
      <c r="AT98" s="4196"/>
      <c r="AU98" s="4197"/>
      <c r="AV98" s="4198"/>
      <c r="AW98" s="4199"/>
      <c r="AX98" s="4200"/>
      <c r="AY98" s="4201"/>
      <c r="AZ98" s="4202"/>
      <c r="BA98" s="4203"/>
      <c r="BB98" s="4204"/>
      <c r="BC98" s="4205"/>
      <c r="BD98" s="4206"/>
      <c r="BE98" s="4207"/>
      <c r="BF98" s="4208"/>
      <c r="BG98" s="4209"/>
      <c r="BH98" s="4210"/>
      <c r="BI98" s="4211"/>
      <c r="BJ98" s="4212"/>
      <c r="BK98" s="4213"/>
      <c r="BL98" s="4214"/>
      <c r="BM98" s="4215"/>
      <c r="BN98" s="4216"/>
      <c r="BO98" s="4217"/>
      <c r="BP98" s="4218"/>
      <c r="BQ98" s="4219"/>
      <c r="BR98" s="4220"/>
      <c r="BS98" s="4221"/>
      <c r="BT98" s="4222"/>
      <c r="BU98" s="4223"/>
      <c r="BV98" s="4224"/>
      <c r="BW98" s="4225"/>
      <c r="BX98" s="4226"/>
      <c r="BY98" s="4227"/>
      <c r="BZ98" s="4228"/>
      <c r="CA98" s="4229"/>
      <c r="CB98" s="4230"/>
      <c r="CC98" s="4231"/>
      <c r="CD98" s="4232"/>
      <c r="CE98" s="4233"/>
      <c r="CF98" s="4234"/>
      <c r="CG98" s="4235"/>
      <c r="CH98" s="4236"/>
      <c r="CI98" s="4237"/>
      <c r="CJ98" s="4238"/>
      <c r="CK98" s="4239"/>
      <c r="CL98" s="4240"/>
      <c r="CM98" s="4241"/>
      <c r="CN98" s="4242"/>
      <c r="CO98" s="4243"/>
      <c r="CP98" s="4244"/>
      <c r="CQ98" s="4245"/>
      <c r="CR98" s="4246"/>
      <c r="CS98" s="4247"/>
      <c r="CT98" s="4248"/>
      <c r="CU98" s="4249"/>
      <c r="CV98" s="4250"/>
      <c r="CW98" s="4251"/>
      <c r="CX98" s="4252"/>
      <c r="CY98" s="4253"/>
      <c r="CZ98" s="4254"/>
      <c r="DA98" s="4255"/>
      <c r="DB98" s="4256"/>
      <c r="DC98" s="4257"/>
      <c r="DD98" s="4258"/>
      <c r="DE98" s="4259"/>
      <c r="DF98" s="4260"/>
      <c r="DG98" s="4261"/>
      <c r="DH98" s="4262"/>
      <c r="DI98" s="4263"/>
      <c r="DJ98" s="4264"/>
      <c r="DK98" s="4265"/>
      <c r="DL98" s="4266"/>
      <c r="DM98" s="4267"/>
      <c r="DN98" s="4268"/>
      <c r="DO98" s="4269"/>
      <c r="DP98" s="4270"/>
      <c r="DQ98" s="4271"/>
      <c r="DR98" s="4272"/>
      <c r="DS98" s="4273"/>
      <c r="DT98" s="4274"/>
      <c r="DU98" s="4275"/>
      <c r="DV98" s="4276"/>
      <c r="DW98" s="4277"/>
      <c r="DX98" s="4278"/>
      <c r="DY98" s="4279"/>
      <c r="DZ98" s="4280"/>
      <c r="EA98" s="4281"/>
      <c r="EB98" s="4282"/>
      <c r="EC98" s="4283"/>
      <c r="ED98" s="4284"/>
      <c r="EE98" s="4285"/>
      <c r="EF98" s="4286"/>
      <c r="EG98" s="4287"/>
      <c r="EH98" s="4288"/>
      <c r="EI98" s="4289"/>
      <c r="EJ98" s="4290"/>
      <c r="EK98" s="4291"/>
      <c r="EL98" s="4292"/>
      <c r="EM98" s="14717"/>
      <c r="EN98" s="14718"/>
      <c r="EO98" s="14719"/>
      <c r="EP98" s="14720"/>
      <c r="EQ98" s="14721"/>
      <c r="ER98" s="14722"/>
      <c r="ES98" s="14723"/>
      <c r="ET98" s="14724"/>
      <c r="EU98" s="14725"/>
      <c r="EV98" s="14726"/>
      <c r="EW98" s="14727"/>
      <c r="EX98" s="4293"/>
      <c r="EY98" s="4294"/>
      <c r="EZ98" s="2199"/>
      <c r="FA98" s="2512"/>
      <c r="FB98" s="2512" t="str">
        <f t="shared" si="1"/>
        <v>Добавить группу потребителей</v>
      </c>
      <c r="FC98" s="2512"/>
      <c r="FD98" s="2512"/>
    </row>
    <row r="99" spans="1:160" s="14728" customFormat="1" ht="21" customHeight="1">
      <c r="A99" s="2502"/>
      <c r="B99" s="2502"/>
      <c r="C99" s="2502"/>
      <c r="D99" s="2502"/>
      <c r="E99" s="16125"/>
      <c r="F99" s="16125" t="s">
        <v>90</v>
      </c>
      <c r="G99" s="16125"/>
      <c r="H99" s="16124"/>
      <c r="I99" s="2502"/>
      <c r="J99" s="2502"/>
      <c r="K99" s="2502"/>
      <c r="L99" s="2503"/>
      <c r="M99" s="2504"/>
      <c r="N99" s="2504"/>
      <c r="O99" s="2193"/>
      <c r="P99" s="2775"/>
      <c r="Q99" s="2776"/>
      <c r="R99" s="2777"/>
      <c r="S99" s="4295"/>
      <c r="T99" s="4296" t="s">
        <v>623</v>
      </c>
      <c r="U99" s="4297"/>
      <c r="V99" s="4298"/>
      <c r="W99" s="4299"/>
      <c r="X99" s="4300"/>
      <c r="Y99" s="4301"/>
      <c r="Z99" s="4302"/>
      <c r="AA99" s="4303"/>
      <c r="AB99" s="4304"/>
      <c r="AC99" s="4305"/>
      <c r="AD99" s="4306"/>
      <c r="AE99" s="4307"/>
      <c r="AF99" s="4308"/>
      <c r="AG99" s="4309"/>
      <c r="AH99" s="4310"/>
      <c r="AI99" s="4311"/>
      <c r="AJ99" s="4312"/>
      <c r="AK99" s="4313"/>
      <c r="AL99" s="4314"/>
      <c r="AM99" s="4315"/>
      <c r="AN99" s="4316"/>
      <c r="AO99" s="4317"/>
      <c r="AP99" s="4318"/>
      <c r="AQ99" s="4319"/>
      <c r="AR99" s="4320"/>
      <c r="AS99" s="4321"/>
      <c r="AT99" s="4322"/>
      <c r="AU99" s="4323"/>
      <c r="AV99" s="4324"/>
      <c r="AW99" s="4325"/>
      <c r="AX99" s="4326"/>
      <c r="AY99" s="4327"/>
      <c r="AZ99" s="4328"/>
      <c r="BA99" s="4329"/>
      <c r="BB99" s="4330"/>
      <c r="BC99" s="4331"/>
      <c r="BD99" s="4332"/>
      <c r="BE99" s="4333"/>
      <c r="BF99" s="4334"/>
      <c r="BG99" s="4335"/>
      <c r="BH99" s="4336"/>
      <c r="BI99" s="4337"/>
      <c r="BJ99" s="4338"/>
      <c r="BK99" s="4339"/>
      <c r="BL99" s="4340"/>
      <c r="BM99" s="4341"/>
      <c r="BN99" s="4342"/>
      <c r="BO99" s="4343"/>
      <c r="BP99" s="4344"/>
      <c r="BQ99" s="4345"/>
      <c r="BR99" s="4346"/>
      <c r="BS99" s="4347"/>
      <c r="BT99" s="4348"/>
      <c r="BU99" s="4349"/>
      <c r="BV99" s="4350"/>
      <c r="BW99" s="4351"/>
      <c r="BX99" s="4352"/>
      <c r="BY99" s="4353"/>
      <c r="BZ99" s="4354"/>
      <c r="CA99" s="4355"/>
      <c r="CB99" s="4356"/>
      <c r="CC99" s="4357"/>
      <c r="CD99" s="4358"/>
      <c r="CE99" s="4359"/>
      <c r="CF99" s="4360"/>
      <c r="CG99" s="4361"/>
      <c r="CH99" s="4362"/>
      <c r="CI99" s="4363"/>
      <c r="CJ99" s="4364"/>
      <c r="CK99" s="4365"/>
      <c r="CL99" s="4366"/>
      <c r="CM99" s="4367"/>
      <c r="CN99" s="4368"/>
      <c r="CO99" s="4369"/>
      <c r="CP99" s="4370"/>
      <c r="CQ99" s="4371"/>
      <c r="CR99" s="4372"/>
      <c r="CS99" s="4373"/>
      <c r="CT99" s="4374"/>
      <c r="CU99" s="4375"/>
      <c r="CV99" s="4376"/>
      <c r="CW99" s="4377"/>
      <c r="CX99" s="4378"/>
      <c r="CY99" s="4379"/>
      <c r="CZ99" s="4380"/>
      <c r="DA99" s="4381"/>
      <c r="DB99" s="4382"/>
      <c r="DC99" s="4383"/>
      <c r="DD99" s="4384"/>
      <c r="DE99" s="4385"/>
      <c r="DF99" s="4386"/>
      <c r="DG99" s="4387"/>
      <c r="DH99" s="4388"/>
      <c r="DI99" s="4389"/>
      <c r="DJ99" s="4390"/>
      <c r="DK99" s="4391"/>
      <c r="DL99" s="4392"/>
      <c r="DM99" s="4393"/>
      <c r="DN99" s="4394"/>
      <c r="DO99" s="4395"/>
      <c r="DP99" s="4396"/>
      <c r="DQ99" s="4397"/>
      <c r="DR99" s="4398"/>
      <c r="DS99" s="4399"/>
      <c r="DT99" s="4400"/>
      <c r="DU99" s="4401"/>
      <c r="DV99" s="4402"/>
      <c r="DW99" s="4403"/>
      <c r="DX99" s="4404"/>
      <c r="DY99" s="4405"/>
      <c r="DZ99" s="4406"/>
      <c r="EA99" s="4407"/>
      <c r="EB99" s="4408"/>
      <c r="EC99" s="4409"/>
      <c r="ED99" s="4410"/>
      <c r="EE99" s="4411"/>
      <c r="EF99" s="4412"/>
      <c r="EG99" s="4413"/>
      <c r="EH99" s="4414"/>
      <c r="EI99" s="4415"/>
      <c r="EJ99" s="4416"/>
      <c r="EK99" s="4417"/>
      <c r="EL99" s="4418"/>
      <c r="EM99" s="14729"/>
      <c r="EN99" s="14730"/>
      <c r="EO99" s="14731"/>
      <c r="EP99" s="14732"/>
      <c r="EQ99" s="14733"/>
      <c r="ER99" s="14734"/>
      <c r="ES99" s="14735"/>
      <c r="ET99" s="14736"/>
      <c r="EU99" s="14737"/>
      <c r="EV99" s="14738"/>
      <c r="EW99" s="14739"/>
      <c r="EX99" s="4419"/>
      <c r="EY99" s="4420"/>
      <c r="EZ99" s="2199"/>
      <c r="FA99" s="2512"/>
      <c r="FB99" s="2512" t="str">
        <f t="shared" si="1"/>
        <v>Добавить наименование признака дифференциации</v>
      </c>
      <c r="FC99" s="2512"/>
      <c r="FD99" s="2512"/>
    </row>
    <row r="100" spans="1:160" s="14740" customFormat="1" ht="14.25" customHeight="1">
      <c r="A100" s="3283"/>
      <c r="B100" s="3283"/>
      <c r="C100" s="3283"/>
      <c r="D100" s="3283"/>
      <c r="E100" s="16125"/>
      <c r="F100" s="16124" t="s">
        <v>90</v>
      </c>
      <c r="G100" s="3283"/>
      <c r="H100" s="3283"/>
      <c r="I100" s="3283"/>
      <c r="J100" s="3283"/>
      <c r="K100" s="3283"/>
      <c r="L100" s="3284"/>
      <c r="M100" s="3285"/>
      <c r="N100" s="3285"/>
      <c r="O100" s="2199"/>
      <c r="P100" s="3286"/>
      <c r="Q100" s="3287"/>
      <c r="R100" s="3286"/>
      <c r="S100" s="3288"/>
      <c r="T100" s="3289" t="s">
        <v>290</v>
      </c>
      <c r="U100" s="2192"/>
      <c r="V100" s="2192"/>
      <c r="W100" s="2192"/>
      <c r="X100" s="2192"/>
      <c r="Y100" s="2192"/>
      <c r="Z100" s="2192"/>
      <c r="AA100" s="2192"/>
      <c r="AB100" s="2192"/>
      <c r="AC100" s="2192"/>
      <c r="AD100" s="2192"/>
      <c r="AE100" s="2192"/>
      <c r="AF100" s="2192"/>
      <c r="AG100" s="2192"/>
      <c r="AH100" s="2192"/>
      <c r="AI100" s="2192"/>
      <c r="AJ100" s="2192"/>
      <c r="AK100" s="2192"/>
      <c r="AL100" s="2192"/>
      <c r="AM100" s="2192"/>
      <c r="AN100" s="2192"/>
      <c r="AO100" s="2192"/>
      <c r="AP100" s="2192"/>
      <c r="AQ100" s="2192"/>
      <c r="AR100" s="2192"/>
      <c r="AS100" s="2192"/>
      <c r="AT100" s="2192"/>
      <c r="AU100" s="2192"/>
      <c r="AV100" s="2192"/>
      <c r="AW100" s="2192"/>
      <c r="AX100" s="2192"/>
      <c r="AY100" s="2192"/>
      <c r="AZ100" s="2192"/>
      <c r="BA100" s="2192"/>
      <c r="BB100" s="2192"/>
      <c r="BC100" s="2192"/>
      <c r="BD100" s="2192"/>
      <c r="BE100" s="2192"/>
      <c r="BF100" s="2192"/>
      <c r="BG100" s="2192"/>
      <c r="BH100" s="2192"/>
      <c r="BI100" s="2192"/>
      <c r="BJ100" s="2192"/>
      <c r="BK100" s="2192"/>
      <c r="BL100" s="2192"/>
      <c r="BM100" s="2192"/>
      <c r="BN100" s="2192"/>
      <c r="BO100" s="2192"/>
      <c r="BP100" s="2192"/>
      <c r="BQ100" s="2192"/>
      <c r="BR100" s="2192"/>
      <c r="BS100" s="2192"/>
      <c r="BT100" s="2192"/>
      <c r="BU100" s="2192"/>
      <c r="BV100" s="2192"/>
      <c r="BW100" s="2192"/>
      <c r="BX100" s="2192"/>
      <c r="BY100" s="2192"/>
      <c r="BZ100" s="2192"/>
      <c r="CA100" s="2192"/>
      <c r="CB100" s="2192"/>
      <c r="CC100" s="2192"/>
      <c r="CD100" s="2192"/>
      <c r="CE100" s="2192"/>
      <c r="CF100" s="2192"/>
      <c r="CG100" s="2192"/>
      <c r="CH100" s="2192"/>
      <c r="CI100" s="2192"/>
      <c r="CJ100" s="2192"/>
      <c r="CK100" s="2192"/>
      <c r="CL100" s="2192"/>
      <c r="CM100" s="2192"/>
      <c r="CN100" s="2192"/>
      <c r="CO100" s="2192"/>
      <c r="CP100" s="2192"/>
      <c r="CQ100" s="2192"/>
      <c r="CR100" s="2192"/>
      <c r="CS100" s="2192"/>
      <c r="CT100" s="2192"/>
      <c r="CU100" s="2192"/>
      <c r="CV100" s="2192"/>
      <c r="CW100" s="2192"/>
      <c r="CX100" s="2192"/>
      <c r="CY100" s="2192"/>
      <c r="CZ100" s="2192"/>
      <c r="DA100" s="2192"/>
      <c r="DB100" s="2192"/>
      <c r="DC100" s="2192"/>
      <c r="DD100" s="2192"/>
      <c r="DE100" s="2192"/>
      <c r="DF100" s="2192"/>
      <c r="DG100" s="2192"/>
      <c r="DH100" s="2192"/>
      <c r="DI100" s="2192"/>
      <c r="DJ100" s="2192"/>
      <c r="DK100" s="2192"/>
      <c r="DL100" s="2192"/>
      <c r="DM100" s="2192"/>
      <c r="DN100" s="2192"/>
      <c r="DO100" s="2192"/>
      <c r="DP100" s="2192"/>
      <c r="DQ100" s="2192"/>
      <c r="DR100" s="2192"/>
      <c r="DS100" s="2192"/>
      <c r="DT100" s="2192"/>
      <c r="DU100" s="2192"/>
      <c r="DV100" s="2192"/>
      <c r="DW100" s="2192"/>
      <c r="DX100" s="2192"/>
      <c r="DY100" s="2192"/>
      <c r="DZ100" s="2192"/>
      <c r="EA100" s="2192"/>
      <c r="EB100" s="2192"/>
      <c r="EC100" s="2192"/>
      <c r="ED100" s="2192"/>
      <c r="EE100" s="2192"/>
      <c r="EF100" s="2192"/>
      <c r="EG100" s="2192"/>
      <c r="EH100" s="2192"/>
      <c r="EI100" s="2192"/>
      <c r="EJ100" s="2192"/>
      <c r="EK100" s="2192"/>
      <c r="EL100" s="2192"/>
      <c r="EM100" s="14483"/>
      <c r="EN100" s="14483"/>
      <c r="EO100" s="14483"/>
      <c r="EP100" s="14483"/>
      <c r="EQ100" s="14483"/>
      <c r="ER100" s="14483"/>
      <c r="ES100" s="14483"/>
      <c r="ET100" s="14483"/>
      <c r="EU100" s="14483"/>
      <c r="EV100" s="14483"/>
      <c r="EW100" s="14483"/>
      <c r="EX100" s="2192"/>
      <c r="EY100" s="2192"/>
      <c r="EZ100" s="2199"/>
      <c r="FA100" s="2512"/>
      <c r="FB100" s="2512" t="str">
        <f t="shared" si="1"/>
        <v>Добавить централизованную систему для дифференциации</v>
      </c>
      <c r="FC100" s="2512"/>
      <c r="FD100" s="2512"/>
    </row>
    <row r="101" spans="1:160" s="14741" customFormat="1" ht="23.25" customHeight="1">
      <c r="A101" s="2502"/>
      <c r="B101" s="2502" t="s">
        <v>306</v>
      </c>
      <c r="C101" s="2502"/>
      <c r="D101" s="2502"/>
      <c r="E101" s="16125"/>
      <c r="F101" s="16124" t="s">
        <v>91</v>
      </c>
      <c r="G101" s="2502"/>
      <c r="H101" s="2502"/>
      <c r="I101" s="2502"/>
      <c r="J101" s="2502"/>
      <c r="K101" s="2502"/>
      <c r="L101" s="2503"/>
      <c r="M101" s="2504"/>
      <c r="N101" s="2504"/>
      <c r="O101" s="2504"/>
      <c r="P101" s="2904"/>
      <c r="Q101" s="2506"/>
      <c r="R101" s="2507"/>
      <c r="S101" s="2508" t="str">
        <f>INDEX(PT_DIFFERENTIATION_NUM_TER,MATCH(B101,PT_DIFFERENTIATION_TER_ID,0))</f>
        <v>1.6</v>
      </c>
      <c r="T101" s="2905" t="s">
        <v>534</v>
      </c>
      <c r="U101" s="2510"/>
      <c r="V101" s="16110"/>
      <c r="W101" s="16111"/>
      <c r="X101" s="16111"/>
      <c r="Y101" s="16111"/>
      <c r="Z101" s="16111"/>
      <c r="AA101" s="16111"/>
      <c r="AB101" s="16111"/>
      <c r="AC101" s="16111"/>
      <c r="AD101" s="16111"/>
      <c r="AE101" s="16111"/>
      <c r="AF101" s="16112"/>
      <c r="AG101" s="16110" t="str">
        <f>INDEX(PT_DIFFERENTIATION_TER,MATCH(B101,PT_DIFFERENTIATION_TER_ID,0))</f>
        <v>Территория 6</v>
      </c>
      <c r="AH101" s="16111"/>
      <c r="AI101" s="16111"/>
      <c r="AJ101" s="16111"/>
      <c r="AK101" s="16111"/>
      <c r="AL101" s="16111"/>
      <c r="AM101" s="16111"/>
      <c r="AN101" s="16111"/>
      <c r="AO101" s="16111"/>
      <c r="AP101" s="16111"/>
      <c r="AQ101" s="16111"/>
      <c r="AR101" s="16110"/>
      <c r="AS101" s="16111"/>
      <c r="AT101" s="16111"/>
      <c r="AU101" s="16111"/>
      <c r="AV101" s="16111"/>
      <c r="AW101" s="16111"/>
      <c r="AX101" s="16111"/>
      <c r="AY101" s="16111"/>
      <c r="AZ101" s="16111"/>
      <c r="BA101" s="16111"/>
      <c r="BB101" s="16112"/>
      <c r="BC101" s="16110"/>
      <c r="BD101" s="16111"/>
      <c r="BE101" s="16111"/>
      <c r="BF101" s="16111"/>
      <c r="BG101" s="16111"/>
      <c r="BH101" s="16111"/>
      <c r="BI101" s="16111"/>
      <c r="BJ101" s="16111"/>
      <c r="BK101" s="16111"/>
      <c r="BL101" s="16111"/>
      <c r="BM101" s="16112"/>
      <c r="BN101" s="16110"/>
      <c r="BO101" s="16111"/>
      <c r="BP101" s="16111"/>
      <c r="BQ101" s="16111"/>
      <c r="BR101" s="16111"/>
      <c r="BS101" s="16111"/>
      <c r="BT101" s="16111"/>
      <c r="BU101" s="16111"/>
      <c r="BV101" s="16111"/>
      <c r="BW101" s="16111"/>
      <c r="BX101" s="16112"/>
      <c r="BY101" s="16110"/>
      <c r="BZ101" s="16111"/>
      <c r="CA101" s="16111"/>
      <c r="CB101" s="16111"/>
      <c r="CC101" s="16111"/>
      <c r="CD101" s="16111"/>
      <c r="CE101" s="16111"/>
      <c r="CF101" s="16111"/>
      <c r="CG101" s="16111"/>
      <c r="CH101" s="16111"/>
      <c r="CI101" s="16112"/>
      <c r="CJ101" s="16110"/>
      <c r="CK101" s="16111"/>
      <c r="CL101" s="16111"/>
      <c r="CM101" s="16111"/>
      <c r="CN101" s="16111"/>
      <c r="CO101" s="16111"/>
      <c r="CP101" s="16111"/>
      <c r="CQ101" s="16111"/>
      <c r="CR101" s="16111"/>
      <c r="CS101" s="16111"/>
      <c r="CT101" s="16112"/>
      <c r="CU101" s="16110"/>
      <c r="CV101" s="16111"/>
      <c r="CW101" s="16111"/>
      <c r="CX101" s="16111"/>
      <c r="CY101" s="16111"/>
      <c r="CZ101" s="16111"/>
      <c r="DA101" s="16111"/>
      <c r="DB101" s="16111"/>
      <c r="DC101" s="16111"/>
      <c r="DD101" s="16111"/>
      <c r="DE101" s="16112"/>
      <c r="DF101" s="16110"/>
      <c r="DG101" s="16111"/>
      <c r="DH101" s="16111"/>
      <c r="DI101" s="16111"/>
      <c r="DJ101" s="16111"/>
      <c r="DK101" s="16111"/>
      <c r="DL101" s="16111"/>
      <c r="DM101" s="16111"/>
      <c r="DN101" s="16111"/>
      <c r="DO101" s="16111"/>
      <c r="DP101" s="16112"/>
      <c r="DQ101" s="16110"/>
      <c r="DR101" s="16111"/>
      <c r="DS101" s="16111"/>
      <c r="DT101" s="16111"/>
      <c r="DU101" s="16111"/>
      <c r="DV101" s="16111"/>
      <c r="DW101" s="16111"/>
      <c r="DX101" s="16111"/>
      <c r="DY101" s="16111"/>
      <c r="DZ101" s="16111"/>
      <c r="EA101" s="16112"/>
      <c r="EB101" s="16110"/>
      <c r="EC101" s="16111"/>
      <c r="ED101" s="16111"/>
      <c r="EE101" s="16111"/>
      <c r="EF101" s="16111"/>
      <c r="EG101" s="16111"/>
      <c r="EH101" s="16111"/>
      <c r="EI101" s="16111"/>
      <c r="EJ101" s="16111"/>
      <c r="EK101" s="16111"/>
      <c r="EL101" s="16112"/>
      <c r="EM101" s="16110"/>
      <c r="EN101" s="16111"/>
      <c r="EO101" s="16111"/>
      <c r="EP101" s="16111"/>
      <c r="EQ101" s="16111"/>
      <c r="ER101" s="16111"/>
      <c r="ES101" s="16111"/>
      <c r="ET101" s="16111"/>
      <c r="EU101" s="16111"/>
      <c r="EV101" s="16111"/>
      <c r="EW101" s="16112"/>
      <c r="EX101" s="16112"/>
      <c r="EY101" s="2511" t="s">
        <v>535</v>
      </c>
      <c r="EZ101" s="2199"/>
      <c r="FA101" s="2512"/>
      <c r="FB101" s="2512" t="str">
        <f t="shared" si="1"/>
        <v>Территория действия тарифа</v>
      </c>
      <c r="FC101" s="2512"/>
      <c r="FD101" s="2512"/>
    </row>
    <row r="102" spans="1:160" s="14742" customFormat="1" ht="23.25" customHeight="1">
      <c r="A102" s="2502"/>
      <c r="B102" s="2502"/>
      <c r="C102" s="2502" t="s">
        <v>307</v>
      </c>
      <c r="D102" s="2502"/>
      <c r="E102" s="16125"/>
      <c r="F102" s="16125" t="s">
        <v>117</v>
      </c>
      <c r="G102" s="16124">
        <v>1</v>
      </c>
      <c r="H102" s="2502"/>
      <c r="I102" s="2502"/>
      <c r="J102" s="2502"/>
      <c r="K102" s="2502"/>
      <c r="L102" s="2503"/>
      <c r="M102" s="2504"/>
      <c r="N102" s="2504"/>
      <c r="O102" s="2504"/>
      <c r="P102" s="2505"/>
      <c r="Q102" s="2506"/>
      <c r="R102" s="2507"/>
      <c r="S102" s="2508" t="str">
        <f>INDEX(PT_DIFFERENTIATION_NUM_CS,MATCH(C102,PT_DIFFERENTIATION_CS_ID,0))</f>
        <v>1.6.1</v>
      </c>
      <c r="T102" s="2509" t="s">
        <v>665</v>
      </c>
      <c r="U102" s="2510"/>
      <c r="V102" s="16110"/>
      <c r="W102" s="16111"/>
      <c r="X102" s="16111"/>
      <c r="Y102" s="16111"/>
      <c r="Z102" s="16111"/>
      <c r="AA102" s="16111"/>
      <c r="AB102" s="16111"/>
      <c r="AC102" s="16111"/>
      <c r="AD102" s="16111"/>
      <c r="AE102" s="16111"/>
      <c r="AF102" s="16112"/>
      <c r="AG102" s="16110" t="str">
        <f>INDEX(PT_DIFFERENTIATION_CS,MATCH(C102,PT_DIFFERENTIATION_CS_ID,0))</f>
        <v>н.п. Высокий</v>
      </c>
      <c r="AH102" s="16111"/>
      <c r="AI102" s="16111"/>
      <c r="AJ102" s="16111"/>
      <c r="AK102" s="16111"/>
      <c r="AL102" s="16111"/>
      <c r="AM102" s="16111"/>
      <c r="AN102" s="16111"/>
      <c r="AO102" s="16111"/>
      <c r="AP102" s="16111"/>
      <c r="AQ102" s="16111"/>
      <c r="AR102" s="16110"/>
      <c r="AS102" s="16111"/>
      <c r="AT102" s="16111"/>
      <c r="AU102" s="16111"/>
      <c r="AV102" s="16111"/>
      <c r="AW102" s="16111"/>
      <c r="AX102" s="16111"/>
      <c r="AY102" s="16111"/>
      <c r="AZ102" s="16111"/>
      <c r="BA102" s="16111"/>
      <c r="BB102" s="16112"/>
      <c r="BC102" s="16110"/>
      <c r="BD102" s="16111"/>
      <c r="BE102" s="16111"/>
      <c r="BF102" s="16111"/>
      <c r="BG102" s="16111"/>
      <c r="BH102" s="16111"/>
      <c r="BI102" s="16111"/>
      <c r="BJ102" s="16111"/>
      <c r="BK102" s="16111"/>
      <c r="BL102" s="16111"/>
      <c r="BM102" s="16112"/>
      <c r="BN102" s="16110"/>
      <c r="BO102" s="16111"/>
      <c r="BP102" s="16111"/>
      <c r="BQ102" s="16111"/>
      <c r="BR102" s="16111"/>
      <c r="BS102" s="16111"/>
      <c r="BT102" s="16111"/>
      <c r="BU102" s="16111"/>
      <c r="BV102" s="16111"/>
      <c r="BW102" s="16111"/>
      <c r="BX102" s="16112"/>
      <c r="BY102" s="16110"/>
      <c r="BZ102" s="16111"/>
      <c r="CA102" s="16111"/>
      <c r="CB102" s="16111"/>
      <c r="CC102" s="16111"/>
      <c r="CD102" s="16111"/>
      <c r="CE102" s="16111"/>
      <c r="CF102" s="16111"/>
      <c r="CG102" s="16111"/>
      <c r="CH102" s="16111"/>
      <c r="CI102" s="16112"/>
      <c r="CJ102" s="16110"/>
      <c r="CK102" s="16111"/>
      <c r="CL102" s="16111"/>
      <c r="CM102" s="16111"/>
      <c r="CN102" s="16111"/>
      <c r="CO102" s="16111"/>
      <c r="CP102" s="16111"/>
      <c r="CQ102" s="16111"/>
      <c r="CR102" s="16111"/>
      <c r="CS102" s="16111"/>
      <c r="CT102" s="16112"/>
      <c r="CU102" s="16110"/>
      <c r="CV102" s="16111"/>
      <c r="CW102" s="16111"/>
      <c r="CX102" s="16111"/>
      <c r="CY102" s="16111"/>
      <c r="CZ102" s="16111"/>
      <c r="DA102" s="16111"/>
      <c r="DB102" s="16111"/>
      <c r="DC102" s="16111"/>
      <c r="DD102" s="16111"/>
      <c r="DE102" s="16112"/>
      <c r="DF102" s="16110"/>
      <c r="DG102" s="16111"/>
      <c r="DH102" s="16111"/>
      <c r="DI102" s="16111"/>
      <c r="DJ102" s="16111"/>
      <c r="DK102" s="16111"/>
      <c r="DL102" s="16111"/>
      <c r="DM102" s="16111"/>
      <c r="DN102" s="16111"/>
      <c r="DO102" s="16111"/>
      <c r="DP102" s="16112"/>
      <c r="DQ102" s="16110"/>
      <c r="DR102" s="16111"/>
      <c r="DS102" s="16111"/>
      <c r="DT102" s="16111"/>
      <c r="DU102" s="16111"/>
      <c r="DV102" s="16111"/>
      <c r="DW102" s="16111"/>
      <c r="DX102" s="16111"/>
      <c r="DY102" s="16111"/>
      <c r="DZ102" s="16111"/>
      <c r="EA102" s="16112"/>
      <c r="EB102" s="16110"/>
      <c r="EC102" s="16111"/>
      <c r="ED102" s="16111"/>
      <c r="EE102" s="16111"/>
      <c r="EF102" s="16111"/>
      <c r="EG102" s="16111"/>
      <c r="EH102" s="16111"/>
      <c r="EI102" s="16111"/>
      <c r="EJ102" s="16111"/>
      <c r="EK102" s="16111"/>
      <c r="EL102" s="16112"/>
      <c r="EM102" s="16110"/>
      <c r="EN102" s="16111"/>
      <c r="EO102" s="16111"/>
      <c r="EP102" s="16111"/>
      <c r="EQ102" s="16111"/>
      <c r="ER102" s="16111"/>
      <c r="ES102" s="16111"/>
      <c r="ET102" s="16111"/>
      <c r="EU102" s="16111"/>
      <c r="EV102" s="16111"/>
      <c r="EW102" s="16112"/>
      <c r="EX102" s="16112"/>
      <c r="EY102" s="2511" t="s">
        <v>666</v>
      </c>
      <c r="EZ102" s="2199"/>
      <c r="FA102" s="2512"/>
      <c r="FB102" s="2512" t="str">
        <f t="shared" si="1"/>
        <v>Наименование централизованной системы горячего водоснабжения</v>
      </c>
      <c r="FC102" s="2512"/>
      <c r="FD102" s="2512"/>
    </row>
    <row r="103" spans="1:160" s="14743" customFormat="1" ht="23.25" customHeight="1">
      <c r="A103" s="2502"/>
      <c r="B103" s="2502"/>
      <c r="C103" s="2502"/>
      <c r="D103" s="2502"/>
      <c r="E103" s="16125"/>
      <c r="F103" s="16125" t="s">
        <v>117</v>
      </c>
      <c r="G103" s="16125"/>
      <c r="H103" s="16125"/>
      <c r="I103" s="16122" t="str">
        <f>S102&amp;".1"</f>
        <v>1.6.1.1</v>
      </c>
      <c r="J103" s="2502"/>
      <c r="K103" s="2502"/>
      <c r="L103" s="2503"/>
      <c r="M103" s="2513"/>
      <c r="N103" s="2513"/>
      <c r="O103" s="2513"/>
      <c r="P103" s="16123">
        <v>1</v>
      </c>
      <c r="Q103" s="2514"/>
      <c r="R103" s="2515"/>
      <c r="S103" s="2508" t="str">
        <f>$I103</f>
        <v>1.6.1.1</v>
      </c>
      <c r="T103" s="2516" t="s">
        <v>618</v>
      </c>
      <c r="U103" s="2510"/>
      <c r="V103" s="16183"/>
      <c r="W103" s="16184"/>
      <c r="X103" s="16184"/>
      <c r="Y103" s="16184"/>
      <c r="Z103" s="16184"/>
      <c r="AA103" s="16184"/>
      <c r="AB103" s="16184"/>
      <c r="AC103" s="16184"/>
      <c r="AD103" s="16184"/>
      <c r="AE103" s="16184"/>
      <c r="AF103" s="16185"/>
      <c r="AG103" s="16186"/>
      <c r="AH103" s="16187"/>
      <c r="AI103" s="16187"/>
      <c r="AJ103" s="16187"/>
      <c r="AK103" s="16187"/>
      <c r="AL103" s="16187"/>
      <c r="AM103" s="16187"/>
      <c r="AN103" s="16187"/>
      <c r="AO103" s="16187"/>
      <c r="AP103" s="16187"/>
      <c r="AQ103" s="16187"/>
      <c r="AR103" s="16183"/>
      <c r="AS103" s="16184"/>
      <c r="AT103" s="16184"/>
      <c r="AU103" s="16184"/>
      <c r="AV103" s="16184"/>
      <c r="AW103" s="16184"/>
      <c r="AX103" s="16184"/>
      <c r="AY103" s="16184"/>
      <c r="AZ103" s="16184"/>
      <c r="BA103" s="16184"/>
      <c r="BB103" s="16185"/>
      <c r="BC103" s="16183"/>
      <c r="BD103" s="16184"/>
      <c r="BE103" s="16184"/>
      <c r="BF103" s="16184"/>
      <c r="BG103" s="16184"/>
      <c r="BH103" s="16184"/>
      <c r="BI103" s="16184"/>
      <c r="BJ103" s="16184"/>
      <c r="BK103" s="16184"/>
      <c r="BL103" s="16184"/>
      <c r="BM103" s="16185"/>
      <c r="BN103" s="16183"/>
      <c r="BO103" s="16184"/>
      <c r="BP103" s="16184"/>
      <c r="BQ103" s="16184"/>
      <c r="BR103" s="16184"/>
      <c r="BS103" s="16184"/>
      <c r="BT103" s="16184"/>
      <c r="BU103" s="16184"/>
      <c r="BV103" s="16184"/>
      <c r="BW103" s="16184"/>
      <c r="BX103" s="16185"/>
      <c r="BY103" s="16183"/>
      <c r="BZ103" s="16184"/>
      <c r="CA103" s="16184"/>
      <c r="CB103" s="16184"/>
      <c r="CC103" s="16184"/>
      <c r="CD103" s="16184"/>
      <c r="CE103" s="16184"/>
      <c r="CF103" s="16184"/>
      <c r="CG103" s="16184"/>
      <c r="CH103" s="16184"/>
      <c r="CI103" s="16185"/>
      <c r="CJ103" s="16183"/>
      <c r="CK103" s="16184"/>
      <c r="CL103" s="16184"/>
      <c r="CM103" s="16184"/>
      <c r="CN103" s="16184"/>
      <c r="CO103" s="16184"/>
      <c r="CP103" s="16184"/>
      <c r="CQ103" s="16184"/>
      <c r="CR103" s="16184"/>
      <c r="CS103" s="16184"/>
      <c r="CT103" s="16185"/>
      <c r="CU103" s="16183"/>
      <c r="CV103" s="16184"/>
      <c r="CW103" s="16184"/>
      <c r="CX103" s="16184"/>
      <c r="CY103" s="16184"/>
      <c r="CZ103" s="16184"/>
      <c r="DA103" s="16184"/>
      <c r="DB103" s="16184"/>
      <c r="DC103" s="16184"/>
      <c r="DD103" s="16184"/>
      <c r="DE103" s="16185"/>
      <c r="DF103" s="16183"/>
      <c r="DG103" s="16184"/>
      <c r="DH103" s="16184"/>
      <c r="DI103" s="16184"/>
      <c r="DJ103" s="16184"/>
      <c r="DK103" s="16184"/>
      <c r="DL103" s="16184"/>
      <c r="DM103" s="16184"/>
      <c r="DN103" s="16184"/>
      <c r="DO103" s="16184"/>
      <c r="DP103" s="16185"/>
      <c r="DQ103" s="16183"/>
      <c r="DR103" s="16184"/>
      <c r="DS103" s="16184"/>
      <c r="DT103" s="16184"/>
      <c r="DU103" s="16184"/>
      <c r="DV103" s="16184"/>
      <c r="DW103" s="16184"/>
      <c r="DX103" s="16184"/>
      <c r="DY103" s="16184"/>
      <c r="DZ103" s="16184"/>
      <c r="EA103" s="16185"/>
      <c r="EB103" s="16183"/>
      <c r="EC103" s="16184"/>
      <c r="ED103" s="16184"/>
      <c r="EE103" s="16184"/>
      <c r="EF103" s="16184"/>
      <c r="EG103" s="16184"/>
      <c r="EH103" s="16184"/>
      <c r="EI103" s="16184"/>
      <c r="EJ103" s="16184"/>
      <c r="EK103" s="16184"/>
      <c r="EL103" s="16185"/>
      <c r="EM103" s="16183"/>
      <c r="EN103" s="16184"/>
      <c r="EO103" s="16184"/>
      <c r="EP103" s="16184"/>
      <c r="EQ103" s="16184"/>
      <c r="ER103" s="16184"/>
      <c r="ES103" s="16184"/>
      <c r="ET103" s="16184"/>
      <c r="EU103" s="16184"/>
      <c r="EV103" s="16184"/>
      <c r="EW103" s="16185"/>
      <c r="EX103" s="16188"/>
      <c r="EY103" s="2511" t="s">
        <v>619</v>
      </c>
      <c r="EZ103" s="2199"/>
      <c r="FA103" s="2512"/>
      <c r="FB103" s="2512" t="str">
        <f t="shared" si="1"/>
        <v>Наименование признака дифференциации</v>
      </c>
      <c r="FC103" s="2512"/>
      <c r="FD103" s="2512"/>
    </row>
    <row r="104" spans="1:160" s="14744" customFormat="1" ht="23.25" customHeight="1">
      <c r="A104" s="2502"/>
      <c r="B104" s="2502"/>
      <c r="C104" s="2502"/>
      <c r="D104" s="2502"/>
      <c r="E104" s="16125"/>
      <c r="F104" s="16125" t="s">
        <v>117</v>
      </c>
      <c r="G104" s="16125"/>
      <c r="H104" s="16125"/>
      <c r="I104" s="16145"/>
      <c r="J104" s="16122" t="str">
        <f>I103&amp;".1"</f>
        <v>1.6.1.1.1</v>
      </c>
      <c r="K104" s="2502"/>
      <c r="L104" s="2503" t="s">
        <v>543</v>
      </c>
      <c r="M104" s="2513"/>
      <c r="N104" s="2513"/>
      <c r="O104" s="2513"/>
      <c r="P104" s="16123"/>
      <c r="Q104" s="16123">
        <v>1</v>
      </c>
      <c r="R104" s="2517"/>
      <c r="S104" s="2508" t="str">
        <f>$J104</f>
        <v>1.6.1.1.1</v>
      </c>
      <c r="T104" s="2518" t="s">
        <v>544</v>
      </c>
      <c r="U104" s="2510"/>
      <c r="V104" s="16113"/>
      <c r="W104" s="16114"/>
      <c r="X104" s="16114"/>
      <c r="Y104" s="16114"/>
      <c r="Z104" s="16114"/>
      <c r="AA104" s="16114"/>
      <c r="AB104" s="16114"/>
      <c r="AC104" s="16114"/>
      <c r="AD104" s="16114"/>
      <c r="AE104" s="16114"/>
      <c r="AF104" s="16115"/>
      <c r="AG104" s="16113" t="s">
        <v>678</v>
      </c>
      <c r="AH104" s="16114"/>
      <c r="AI104" s="16114"/>
      <c r="AJ104" s="16114"/>
      <c r="AK104" s="16114"/>
      <c r="AL104" s="16114"/>
      <c r="AM104" s="16114"/>
      <c r="AN104" s="16114"/>
      <c r="AO104" s="16114"/>
      <c r="AP104" s="16114"/>
      <c r="AQ104" s="16114"/>
      <c r="AR104" s="16113"/>
      <c r="AS104" s="16114"/>
      <c r="AT104" s="16114"/>
      <c r="AU104" s="16114"/>
      <c r="AV104" s="16114"/>
      <c r="AW104" s="16114"/>
      <c r="AX104" s="16114"/>
      <c r="AY104" s="16114"/>
      <c r="AZ104" s="16114"/>
      <c r="BA104" s="16114"/>
      <c r="BB104" s="16115"/>
      <c r="BC104" s="16113"/>
      <c r="BD104" s="16114"/>
      <c r="BE104" s="16114"/>
      <c r="BF104" s="16114"/>
      <c r="BG104" s="16114"/>
      <c r="BH104" s="16114"/>
      <c r="BI104" s="16114"/>
      <c r="BJ104" s="16114"/>
      <c r="BK104" s="16114"/>
      <c r="BL104" s="16114"/>
      <c r="BM104" s="16115"/>
      <c r="BN104" s="16113"/>
      <c r="BO104" s="16114"/>
      <c r="BP104" s="16114"/>
      <c r="BQ104" s="16114"/>
      <c r="BR104" s="16114"/>
      <c r="BS104" s="16114"/>
      <c r="BT104" s="16114"/>
      <c r="BU104" s="16114"/>
      <c r="BV104" s="16114"/>
      <c r="BW104" s="16114"/>
      <c r="BX104" s="16115"/>
      <c r="BY104" s="16113"/>
      <c r="BZ104" s="16114"/>
      <c r="CA104" s="16114"/>
      <c r="CB104" s="16114"/>
      <c r="CC104" s="16114"/>
      <c r="CD104" s="16114"/>
      <c r="CE104" s="16114"/>
      <c r="CF104" s="16114"/>
      <c r="CG104" s="16114"/>
      <c r="CH104" s="16114"/>
      <c r="CI104" s="16115"/>
      <c r="CJ104" s="16113"/>
      <c r="CK104" s="16114"/>
      <c r="CL104" s="16114"/>
      <c r="CM104" s="16114"/>
      <c r="CN104" s="16114"/>
      <c r="CO104" s="16114"/>
      <c r="CP104" s="16114"/>
      <c r="CQ104" s="16114"/>
      <c r="CR104" s="16114"/>
      <c r="CS104" s="16114"/>
      <c r="CT104" s="16115"/>
      <c r="CU104" s="16113"/>
      <c r="CV104" s="16114"/>
      <c r="CW104" s="16114"/>
      <c r="CX104" s="16114"/>
      <c r="CY104" s="16114"/>
      <c r="CZ104" s="16114"/>
      <c r="DA104" s="16114"/>
      <c r="DB104" s="16114"/>
      <c r="DC104" s="16114"/>
      <c r="DD104" s="16114"/>
      <c r="DE104" s="16115"/>
      <c r="DF104" s="16113"/>
      <c r="DG104" s="16114"/>
      <c r="DH104" s="16114"/>
      <c r="DI104" s="16114"/>
      <c r="DJ104" s="16114"/>
      <c r="DK104" s="16114"/>
      <c r="DL104" s="16114"/>
      <c r="DM104" s="16114"/>
      <c r="DN104" s="16114"/>
      <c r="DO104" s="16114"/>
      <c r="DP104" s="16115"/>
      <c r="DQ104" s="16113"/>
      <c r="DR104" s="16114"/>
      <c r="DS104" s="16114"/>
      <c r="DT104" s="16114"/>
      <c r="DU104" s="16114"/>
      <c r="DV104" s="16114"/>
      <c r="DW104" s="16114"/>
      <c r="DX104" s="16114"/>
      <c r="DY104" s="16114"/>
      <c r="DZ104" s="16114"/>
      <c r="EA104" s="16115"/>
      <c r="EB104" s="16113"/>
      <c r="EC104" s="16114"/>
      <c r="ED104" s="16114"/>
      <c r="EE104" s="16114"/>
      <c r="EF104" s="16114"/>
      <c r="EG104" s="16114"/>
      <c r="EH104" s="16114"/>
      <c r="EI104" s="16114"/>
      <c r="EJ104" s="16114"/>
      <c r="EK104" s="16114"/>
      <c r="EL104" s="16115"/>
      <c r="EM104" s="16113"/>
      <c r="EN104" s="16114"/>
      <c r="EO104" s="16114"/>
      <c r="EP104" s="16114"/>
      <c r="EQ104" s="16114"/>
      <c r="ER104" s="16114"/>
      <c r="ES104" s="16114"/>
      <c r="ET104" s="16114"/>
      <c r="EU104" s="16114"/>
      <c r="EV104" s="16114"/>
      <c r="EW104" s="16115"/>
      <c r="EX104" s="16115"/>
      <c r="EY104" s="2519" t="s">
        <v>620</v>
      </c>
      <c r="EZ104" s="2199"/>
      <c r="FA104" s="2512"/>
      <c r="FB104" s="2512" t="str">
        <f t="shared" si="1"/>
        <v>Группа потребителей</v>
      </c>
      <c r="FC104" s="2512"/>
      <c r="FD104" s="2512"/>
    </row>
    <row r="105" spans="1:160" s="14745" customFormat="1" ht="23.25" customHeight="1">
      <c r="A105" s="2502"/>
      <c r="B105" s="2502"/>
      <c r="C105" s="2502"/>
      <c r="D105" s="2502"/>
      <c r="E105" s="16125"/>
      <c r="F105" s="16125" t="s">
        <v>117</v>
      </c>
      <c r="G105" s="16125"/>
      <c r="H105" s="16125"/>
      <c r="I105" s="16145"/>
      <c r="J105" s="16145"/>
      <c r="K105" s="16122" t="str">
        <f>J104&amp;".1"</f>
        <v>1.6.1.1.1.1</v>
      </c>
      <c r="L105" s="2503"/>
      <c r="M105" s="2513"/>
      <c r="N105" s="2513"/>
      <c r="O105" s="2513"/>
      <c r="P105" s="16123"/>
      <c r="Q105" s="16123"/>
      <c r="R105" s="2517">
        <v>1</v>
      </c>
      <c r="S105" s="2508" t="str">
        <f>$K105</f>
        <v>1.6.1.1.1.1</v>
      </c>
      <c r="T105" s="2520"/>
      <c r="U105" s="2510"/>
      <c r="V105" s="1893"/>
      <c r="W105" s="1893"/>
      <c r="X105" s="1893"/>
      <c r="Y105" s="1893"/>
      <c r="Z105" s="1893"/>
      <c r="AA105" s="1893"/>
      <c r="AB105" s="1893"/>
      <c r="AC105" s="16127"/>
      <c r="AD105" s="15973" t="s">
        <v>66</v>
      </c>
      <c r="AE105" s="16127"/>
      <c r="AF105" s="15973" t="s">
        <v>66</v>
      </c>
      <c r="AG105" s="1893">
        <v>35.97</v>
      </c>
      <c r="AH105" s="1893"/>
      <c r="AI105" s="1893"/>
      <c r="AJ105" s="1893"/>
      <c r="AK105" s="1893">
        <v>4115.32</v>
      </c>
      <c r="AL105" s="1893"/>
      <c r="AM105" s="1893"/>
      <c r="AN105" s="16127">
        <v>45292</v>
      </c>
      <c r="AO105" s="15973" t="s">
        <v>66</v>
      </c>
      <c r="AP105" s="16146">
        <v>45378</v>
      </c>
      <c r="AQ105" s="15973" t="s">
        <v>66</v>
      </c>
      <c r="AR105" s="1893">
        <v>35.97</v>
      </c>
      <c r="AS105" s="1893"/>
      <c r="AT105" s="1893"/>
      <c r="AU105" s="1893"/>
      <c r="AV105" s="1893">
        <v>4115.32</v>
      </c>
      <c r="AW105" s="1893"/>
      <c r="AX105" s="1893"/>
      <c r="AY105" s="16127">
        <v>45379</v>
      </c>
      <c r="AZ105" s="15973" t="s">
        <v>66</v>
      </c>
      <c r="BA105" s="16127">
        <v>45473</v>
      </c>
      <c r="BB105" s="15973" t="s">
        <v>66</v>
      </c>
      <c r="BC105" s="1893">
        <v>40.39</v>
      </c>
      <c r="BD105" s="1893"/>
      <c r="BE105" s="1893"/>
      <c r="BF105" s="1893"/>
      <c r="BG105" s="1893">
        <v>4115.32</v>
      </c>
      <c r="BH105" s="1893"/>
      <c r="BI105" s="1893"/>
      <c r="BJ105" s="16127">
        <v>45474</v>
      </c>
      <c r="BK105" s="15973" t="s">
        <v>66</v>
      </c>
      <c r="BL105" s="16127">
        <v>45657</v>
      </c>
      <c r="BM105" s="15973" t="s">
        <v>66</v>
      </c>
      <c r="BN105" s="1893">
        <v>40.39</v>
      </c>
      <c r="BO105" s="1893"/>
      <c r="BP105" s="1893"/>
      <c r="BQ105" s="1893"/>
      <c r="BR105" s="1893">
        <v>4115.32</v>
      </c>
      <c r="BS105" s="1893"/>
      <c r="BT105" s="1893"/>
      <c r="BU105" s="16127">
        <v>45658</v>
      </c>
      <c r="BV105" s="15973" t="s">
        <v>66</v>
      </c>
      <c r="BW105" s="16127">
        <v>45838</v>
      </c>
      <c r="BX105" s="15973" t="s">
        <v>66</v>
      </c>
      <c r="BY105" s="1893">
        <v>42.08</v>
      </c>
      <c r="BZ105" s="1893"/>
      <c r="CA105" s="1893"/>
      <c r="CB105" s="1893"/>
      <c r="CC105" s="1893">
        <v>4288.16</v>
      </c>
      <c r="CD105" s="1893"/>
      <c r="CE105" s="1893"/>
      <c r="CF105" s="16127">
        <v>45839</v>
      </c>
      <c r="CG105" s="15973" t="s">
        <v>66</v>
      </c>
      <c r="CH105" s="16127">
        <v>46022</v>
      </c>
      <c r="CI105" s="15973" t="s">
        <v>66</v>
      </c>
      <c r="CJ105" s="1893">
        <v>42.08</v>
      </c>
      <c r="CK105" s="1893"/>
      <c r="CL105" s="1893"/>
      <c r="CM105" s="1893"/>
      <c r="CN105" s="1893">
        <v>4288.16</v>
      </c>
      <c r="CO105" s="1893"/>
      <c r="CP105" s="1893"/>
      <c r="CQ105" s="16127">
        <v>46023</v>
      </c>
      <c r="CR105" s="15973" t="s">
        <v>66</v>
      </c>
      <c r="CS105" s="16127">
        <v>46203</v>
      </c>
      <c r="CT105" s="15973" t="s">
        <v>66</v>
      </c>
      <c r="CU105" s="1893">
        <v>43.76</v>
      </c>
      <c r="CV105" s="1893"/>
      <c r="CW105" s="1893"/>
      <c r="CX105" s="1893"/>
      <c r="CY105" s="1893">
        <v>4459.6899999999996</v>
      </c>
      <c r="CZ105" s="1893"/>
      <c r="DA105" s="1893"/>
      <c r="DB105" s="16127">
        <v>46204</v>
      </c>
      <c r="DC105" s="15973" t="s">
        <v>66</v>
      </c>
      <c r="DD105" s="16127">
        <v>46387</v>
      </c>
      <c r="DE105" s="15973" t="s">
        <v>66</v>
      </c>
      <c r="DF105" s="1893">
        <v>43.76</v>
      </c>
      <c r="DG105" s="1893"/>
      <c r="DH105" s="1893"/>
      <c r="DI105" s="1893"/>
      <c r="DJ105" s="1893">
        <v>4459.6899999999996</v>
      </c>
      <c r="DK105" s="1893"/>
      <c r="DL105" s="1893"/>
      <c r="DM105" s="16127">
        <v>46388</v>
      </c>
      <c r="DN105" s="15973" t="s">
        <v>66</v>
      </c>
      <c r="DO105" s="16127">
        <v>46568</v>
      </c>
      <c r="DP105" s="15973" t="s">
        <v>66</v>
      </c>
      <c r="DQ105" s="1893">
        <v>45.51</v>
      </c>
      <c r="DR105" s="1893"/>
      <c r="DS105" s="1893"/>
      <c r="DT105" s="1893"/>
      <c r="DU105" s="1893">
        <v>4638.08</v>
      </c>
      <c r="DV105" s="1893"/>
      <c r="DW105" s="1893"/>
      <c r="DX105" s="16127">
        <v>46569</v>
      </c>
      <c r="DY105" s="15973" t="s">
        <v>66</v>
      </c>
      <c r="DZ105" s="16127">
        <v>46752</v>
      </c>
      <c r="EA105" s="15973" t="s">
        <v>66</v>
      </c>
      <c r="EB105" s="1893">
        <v>45.51</v>
      </c>
      <c r="EC105" s="1893"/>
      <c r="ED105" s="1893"/>
      <c r="EE105" s="1893"/>
      <c r="EF105" s="1893">
        <v>4638.08</v>
      </c>
      <c r="EG105" s="1893"/>
      <c r="EH105" s="1893"/>
      <c r="EI105" s="16127">
        <v>46753</v>
      </c>
      <c r="EJ105" s="15973" t="s">
        <v>66</v>
      </c>
      <c r="EK105" s="16127">
        <v>46934</v>
      </c>
      <c r="EL105" s="15973" t="s">
        <v>66</v>
      </c>
      <c r="EM105" s="14448">
        <v>47.33</v>
      </c>
      <c r="EN105" s="14448"/>
      <c r="EO105" s="14448"/>
      <c r="EP105" s="14448"/>
      <c r="EQ105" s="14448">
        <v>4823.6000000000004</v>
      </c>
      <c r="ER105" s="14448"/>
      <c r="ES105" s="14448"/>
      <c r="ET105" s="16127">
        <v>46935</v>
      </c>
      <c r="EU105" s="15973" t="s">
        <v>66</v>
      </c>
      <c r="EV105" s="16127">
        <v>47118</v>
      </c>
      <c r="EW105" s="15973" t="s">
        <v>66</v>
      </c>
      <c r="EX105" s="2521"/>
      <c r="EY105"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05" s="2199" t="e">
        <f ca="1">STRCHECKDATE(V106:EX106)</f>
        <v>#NAME?</v>
      </c>
      <c r="FA105" s="2512"/>
      <c r="FB105" s="2512" t="str">
        <f t="shared" si="1"/>
        <v/>
      </c>
      <c r="FC105" s="2512"/>
      <c r="FD105" s="2512"/>
    </row>
    <row r="106" spans="1:160" s="14746" customFormat="1" ht="14.25" customHeight="1">
      <c r="A106" s="2502"/>
      <c r="B106" s="2502"/>
      <c r="C106" s="2502"/>
      <c r="D106" s="2502"/>
      <c r="E106" s="16125"/>
      <c r="F106" s="16125" t="s">
        <v>117</v>
      </c>
      <c r="G106" s="16125"/>
      <c r="H106" s="16125"/>
      <c r="I106" s="16145"/>
      <c r="J106" s="16145"/>
      <c r="K106" s="16122"/>
      <c r="L106" s="2503"/>
      <c r="M106" s="2513"/>
      <c r="N106" s="2513"/>
      <c r="O106" s="2513"/>
      <c r="P106" s="16123"/>
      <c r="Q106" s="16123"/>
      <c r="R106" s="2517"/>
      <c r="S106" s="2522"/>
      <c r="T106" s="2510"/>
      <c r="U106" s="2510"/>
      <c r="V106" s="1894"/>
      <c r="W106" s="1894"/>
      <c r="X106" s="1894"/>
      <c r="Y106" s="1894"/>
      <c r="Z106" s="1894"/>
      <c r="AA106" s="1894"/>
      <c r="AB106" s="1894"/>
      <c r="AC106" s="16128"/>
      <c r="AD106" s="15973"/>
      <c r="AE106" s="16128"/>
      <c r="AF106" s="15973"/>
      <c r="AG106" s="1894"/>
      <c r="AH106" s="1894"/>
      <c r="AI106" s="1894"/>
      <c r="AJ106" s="1894"/>
      <c r="AK106" s="1894"/>
      <c r="AL106" s="1894"/>
      <c r="AM106" s="1894"/>
      <c r="AN106" s="16128"/>
      <c r="AO106" s="15973"/>
      <c r="AP106" s="16147"/>
      <c r="AQ106" s="15973"/>
      <c r="AR106" s="1894"/>
      <c r="AS106" s="1894"/>
      <c r="AT106" s="1894"/>
      <c r="AU106" s="1894"/>
      <c r="AV106" s="1894"/>
      <c r="AW106" s="1894"/>
      <c r="AX106" s="1894"/>
      <c r="AY106" s="16128"/>
      <c r="AZ106" s="15973"/>
      <c r="BA106" s="16128"/>
      <c r="BB106" s="15973"/>
      <c r="BC106" s="1894"/>
      <c r="BD106" s="1894"/>
      <c r="BE106" s="1894"/>
      <c r="BF106" s="1894"/>
      <c r="BG106" s="1894"/>
      <c r="BH106" s="1894"/>
      <c r="BI106" s="1894"/>
      <c r="BJ106" s="16128"/>
      <c r="BK106" s="15973"/>
      <c r="BL106" s="16128"/>
      <c r="BM106" s="15973"/>
      <c r="BN106" s="1894"/>
      <c r="BO106" s="1894"/>
      <c r="BP106" s="1894"/>
      <c r="BQ106" s="1894"/>
      <c r="BR106" s="1894"/>
      <c r="BS106" s="1894"/>
      <c r="BT106" s="1894"/>
      <c r="BU106" s="16128"/>
      <c r="BV106" s="15973"/>
      <c r="BW106" s="16128"/>
      <c r="BX106" s="15973"/>
      <c r="BY106" s="1894"/>
      <c r="BZ106" s="1894"/>
      <c r="CA106" s="1894"/>
      <c r="CB106" s="1894"/>
      <c r="CC106" s="1894"/>
      <c r="CD106" s="1894"/>
      <c r="CE106" s="1894"/>
      <c r="CF106" s="16128"/>
      <c r="CG106" s="15973"/>
      <c r="CH106" s="16128"/>
      <c r="CI106" s="15973"/>
      <c r="CJ106" s="1894"/>
      <c r="CK106" s="1894"/>
      <c r="CL106" s="1894"/>
      <c r="CM106" s="1894"/>
      <c r="CN106" s="1894"/>
      <c r="CO106" s="1894"/>
      <c r="CP106" s="1894"/>
      <c r="CQ106" s="16128"/>
      <c r="CR106" s="15973"/>
      <c r="CS106" s="16128"/>
      <c r="CT106" s="15973"/>
      <c r="CU106" s="1894"/>
      <c r="CV106" s="1894"/>
      <c r="CW106" s="1894"/>
      <c r="CX106" s="1894"/>
      <c r="CY106" s="1894"/>
      <c r="CZ106" s="1894"/>
      <c r="DA106" s="1894"/>
      <c r="DB106" s="16128"/>
      <c r="DC106" s="15973"/>
      <c r="DD106" s="16128"/>
      <c r="DE106" s="15973"/>
      <c r="DF106" s="1894"/>
      <c r="DG106" s="1894"/>
      <c r="DH106" s="1894"/>
      <c r="DI106" s="1894"/>
      <c r="DJ106" s="1894"/>
      <c r="DK106" s="1894"/>
      <c r="DL106" s="1894"/>
      <c r="DM106" s="16128"/>
      <c r="DN106" s="15973"/>
      <c r="DO106" s="16128"/>
      <c r="DP106" s="15973"/>
      <c r="DQ106" s="1894"/>
      <c r="DR106" s="1894"/>
      <c r="DS106" s="1894"/>
      <c r="DT106" s="1894"/>
      <c r="DU106" s="1894"/>
      <c r="DV106" s="1894"/>
      <c r="DW106" s="1894"/>
      <c r="DX106" s="16128"/>
      <c r="DY106" s="15973"/>
      <c r="DZ106" s="16128"/>
      <c r="EA106" s="15973"/>
      <c r="EB106" s="1894"/>
      <c r="EC106" s="1894"/>
      <c r="ED106" s="1894"/>
      <c r="EE106" s="1894"/>
      <c r="EF106" s="1894"/>
      <c r="EG106" s="1894"/>
      <c r="EH106" s="1894"/>
      <c r="EI106" s="16128"/>
      <c r="EJ106" s="15973"/>
      <c r="EK106" s="16128"/>
      <c r="EL106" s="15973"/>
      <c r="EM106" s="14449"/>
      <c r="EN106" s="14449"/>
      <c r="EO106" s="14449"/>
      <c r="EP106" s="14449"/>
      <c r="EQ106" s="14449"/>
      <c r="ER106" s="14449"/>
      <c r="ES106" s="14449"/>
      <c r="ET106" s="16128"/>
      <c r="EU106" s="15973"/>
      <c r="EV106" s="16128"/>
      <c r="EW106" s="15973"/>
      <c r="EX106" s="2523"/>
      <c r="EY106" s="16182"/>
      <c r="EZ106" s="2199"/>
      <c r="FA106" s="2512"/>
      <c r="FB106" s="2512" t="str">
        <f t="shared" ref="FB106:FB169" si="2">IF(T106="","",T106)</f>
        <v/>
      </c>
      <c r="FC106" s="2512"/>
      <c r="FD106" s="2512"/>
    </row>
    <row r="107" spans="1:160" s="14747" customFormat="1" ht="21" customHeight="1">
      <c r="A107" s="2502"/>
      <c r="B107" s="2502"/>
      <c r="C107" s="2502"/>
      <c r="D107" s="2502"/>
      <c r="E107" s="16125"/>
      <c r="F107" s="16125" t="s">
        <v>117</v>
      </c>
      <c r="G107" s="16125"/>
      <c r="H107" s="16125"/>
      <c r="I107" s="16145"/>
      <c r="J107" s="16122"/>
      <c r="K107" s="2502"/>
      <c r="L107" s="2503"/>
      <c r="M107" s="2513"/>
      <c r="N107" s="2513"/>
      <c r="O107" s="2513"/>
      <c r="P107" s="16123"/>
      <c r="Q107" s="16123"/>
      <c r="R107" s="2515"/>
      <c r="S107" s="4421"/>
      <c r="T107" s="4422" t="s">
        <v>621</v>
      </c>
      <c r="U107" s="4423"/>
      <c r="V107" s="4424"/>
      <c r="W107" s="4425"/>
      <c r="X107" s="4426"/>
      <c r="Y107" s="4427"/>
      <c r="Z107" s="4428"/>
      <c r="AA107" s="4429"/>
      <c r="AB107" s="4430"/>
      <c r="AC107" s="4431"/>
      <c r="AD107" s="4432"/>
      <c r="AE107" s="4433"/>
      <c r="AF107" s="4434"/>
      <c r="AG107" s="4435"/>
      <c r="AH107" s="4436"/>
      <c r="AI107" s="4437"/>
      <c r="AJ107" s="4438"/>
      <c r="AK107" s="4439"/>
      <c r="AL107" s="4440"/>
      <c r="AM107" s="4441"/>
      <c r="AN107" s="4442"/>
      <c r="AO107" s="4443"/>
      <c r="AP107" s="4444"/>
      <c r="AQ107" s="4445"/>
      <c r="AR107" s="4446"/>
      <c r="AS107" s="4447"/>
      <c r="AT107" s="4448"/>
      <c r="AU107" s="4449"/>
      <c r="AV107" s="4450"/>
      <c r="AW107" s="4451"/>
      <c r="AX107" s="4452"/>
      <c r="AY107" s="4453"/>
      <c r="AZ107" s="4454"/>
      <c r="BA107" s="4455"/>
      <c r="BB107" s="4456"/>
      <c r="BC107" s="4457"/>
      <c r="BD107" s="4458"/>
      <c r="BE107" s="4459"/>
      <c r="BF107" s="4460"/>
      <c r="BG107" s="4461"/>
      <c r="BH107" s="4462"/>
      <c r="BI107" s="4463"/>
      <c r="BJ107" s="4464"/>
      <c r="BK107" s="4465"/>
      <c r="BL107" s="4466"/>
      <c r="BM107" s="4467"/>
      <c r="BN107" s="4468"/>
      <c r="BO107" s="4469"/>
      <c r="BP107" s="4470"/>
      <c r="BQ107" s="4471"/>
      <c r="BR107" s="4472"/>
      <c r="BS107" s="4473"/>
      <c r="BT107" s="4474"/>
      <c r="BU107" s="4475"/>
      <c r="BV107" s="4476"/>
      <c r="BW107" s="4477"/>
      <c r="BX107" s="4478"/>
      <c r="BY107" s="4479"/>
      <c r="BZ107" s="4480"/>
      <c r="CA107" s="4481"/>
      <c r="CB107" s="4482"/>
      <c r="CC107" s="4483"/>
      <c r="CD107" s="4484"/>
      <c r="CE107" s="4485"/>
      <c r="CF107" s="4486"/>
      <c r="CG107" s="4487"/>
      <c r="CH107" s="4488"/>
      <c r="CI107" s="4489"/>
      <c r="CJ107" s="4490"/>
      <c r="CK107" s="4491"/>
      <c r="CL107" s="4492"/>
      <c r="CM107" s="4493"/>
      <c r="CN107" s="4494"/>
      <c r="CO107" s="4495"/>
      <c r="CP107" s="4496"/>
      <c r="CQ107" s="4497"/>
      <c r="CR107" s="4498"/>
      <c r="CS107" s="4499"/>
      <c r="CT107" s="4500"/>
      <c r="CU107" s="4501"/>
      <c r="CV107" s="4502"/>
      <c r="CW107" s="4503"/>
      <c r="CX107" s="4504"/>
      <c r="CY107" s="4505"/>
      <c r="CZ107" s="4506"/>
      <c r="DA107" s="4507"/>
      <c r="DB107" s="4508"/>
      <c r="DC107" s="4509"/>
      <c r="DD107" s="4510"/>
      <c r="DE107" s="4511"/>
      <c r="DF107" s="4512"/>
      <c r="DG107" s="4513"/>
      <c r="DH107" s="4514"/>
      <c r="DI107" s="4515"/>
      <c r="DJ107" s="4516"/>
      <c r="DK107" s="4517"/>
      <c r="DL107" s="4518"/>
      <c r="DM107" s="4519"/>
      <c r="DN107" s="4520"/>
      <c r="DO107" s="4521"/>
      <c r="DP107" s="4522"/>
      <c r="DQ107" s="4523"/>
      <c r="DR107" s="4524"/>
      <c r="DS107" s="4525"/>
      <c r="DT107" s="4526"/>
      <c r="DU107" s="4527"/>
      <c r="DV107" s="4528"/>
      <c r="DW107" s="4529"/>
      <c r="DX107" s="4530"/>
      <c r="DY107" s="4531"/>
      <c r="DZ107" s="4532"/>
      <c r="EA107" s="4533"/>
      <c r="EB107" s="4534"/>
      <c r="EC107" s="4535"/>
      <c r="ED107" s="4536"/>
      <c r="EE107" s="4537"/>
      <c r="EF107" s="4538"/>
      <c r="EG107" s="4539"/>
      <c r="EH107" s="4540"/>
      <c r="EI107" s="4541"/>
      <c r="EJ107" s="4542"/>
      <c r="EK107" s="4543"/>
      <c r="EL107" s="4544"/>
      <c r="EM107" s="14748"/>
      <c r="EN107" s="14749"/>
      <c r="EO107" s="14750"/>
      <c r="EP107" s="14751"/>
      <c r="EQ107" s="14752"/>
      <c r="ER107" s="14753"/>
      <c r="ES107" s="14754"/>
      <c r="ET107" s="14755"/>
      <c r="EU107" s="14756"/>
      <c r="EV107" s="14757"/>
      <c r="EW107" s="14758"/>
      <c r="EX107" s="4545"/>
      <c r="EY107" s="2511" t="s">
        <v>622</v>
      </c>
      <c r="EZ107" s="2199"/>
      <c r="FA107" s="2512"/>
      <c r="FB107" s="2512" t="str">
        <f t="shared" si="2"/>
        <v>Добавить значение признака дифференциации</v>
      </c>
      <c r="FC107" s="2512"/>
      <c r="FD107" s="2512"/>
    </row>
    <row r="108" spans="1:160" s="14759" customFormat="1" ht="21" customHeight="1">
      <c r="A108" s="2502"/>
      <c r="B108" s="2502"/>
      <c r="C108" s="2502"/>
      <c r="D108" s="2502"/>
      <c r="E108" s="16125"/>
      <c r="F108" s="16125" t="s">
        <v>117</v>
      </c>
      <c r="G108" s="16125"/>
      <c r="H108" s="16125"/>
      <c r="I108" s="16122"/>
      <c r="J108" s="2502"/>
      <c r="K108" s="2502"/>
      <c r="L108" s="2503"/>
      <c r="M108" s="2513"/>
      <c r="N108" s="2513"/>
      <c r="O108" s="2513"/>
      <c r="P108" s="16123"/>
      <c r="Q108" s="2514"/>
      <c r="R108" s="2515"/>
      <c r="S108" s="4546"/>
      <c r="T108" s="4547" t="s">
        <v>549</v>
      </c>
      <c r="U108" s="4548"/>
      <c r="V108" s="4549"/>
      <c r="W108" s="4550"/>
      <c r="X108" s="4551"/>
      <c r="Y108" s="4552"/>
      <c r="Z108" s="4553"/>
      <c r="AA108" s="4554"/>
      <c r="AB108" s="4555"/>
      <c r="AC108" s="4556"/>
      <c r="AD108" s="4557"/>
      <c r="AE108" s="4558"/>
      <c r="AF108" s="4559"/>
      <c r="AG108" s="4560"/>
      <c r="AH108" s="4561"/>
      <c r="AI108" s="4562"/>
      <c r="AJ108" s="4563"/>
      <c r="AK108" s="4564"/>
      <c r="AL108" s="4565"/>
      <c r="AM108" s="4566"/>
      <c r="AN108" s="4567"/>
      <c r="AO108" s="4568"/>
      <c r="AP108" s="4569"/>
      <c r="AQ108" s="4570"/>
      <c r="AR108" s="4571"/>
      <c r="AS108" s="4572"/>
      <c r="AT108" s="4573"/>
      <c r="AU108" s="4574"/>
      <c r="AV108" s="4575"/>
      <c r="AW108" s="4576"/>
      <c r="AX108" s="4577"/>
      <c r="AY108" s="4578"/>
      <c r="AZ108" s="4579"/>
      <c r="BA108" s="4580"/>
      <c r="BB108" s="4581"/>
      <c r="BC108" s="4582"/>
      <c r="BD108" s="4583"/>
      <c r="BE108" s="4584"/>
      <c r="BF108" s="4585"/>
      <c r="BG108" s="4586"/>
      <c r="BH108" s="4587"/>
      <c r="BI108" s="4588"/>
      <c r="BJ108" s="4589"/>
      <c r="BK108" s="4590"/>
      <c r="BL108" s="4591"/>
      <c r="BM108" s="4592"/>
      <c r="BN108" s="4593"/>
      <c r="BO108" s="4594"/>
      <c r="BP108" s="4595"/>
      <c r="BQ108" s="4596"/>
      <c r="BR108" s="4597"/>
      <c r="BS108" s="4598"/>
      <c r="BT108" s="4599"/>
      <c r="BU108" s="4600"/>
      <c r="BV108" s="4601"/>
      <c r="BW108" s="4602"/>
      <c r="BX108" s="4603"/>
      <c r="BY108" s="4604"/>
      <c r="BZ108" s="4605"/>
      <c r="CA108" s="4606"/>
      <c r="CB108" s="4607"/>
      <c r="CC108" s="4608"/>
      <c r="CD108" s="4609"/>
      <c r="CE108" s="4610"/>
      <c r="CF108" s="4611"/>
      <c r="CG108" s="4612"/>
      <c r="CH108" s="4613"/>
      <c r="CI108" s="4614"/>
      <c r="CJ108" s="4615"/>
      <c r="CK108" s="4616"/>
      <c r="CL108" s="4617"/>
      <c r="CM108" s="4618"/>
      <c r="CN108" s="4619"/>
      <c r="CO108" s="4620"/>
      <c r="CP108" s="4621"/>
      <c r="CQ108" s="4622"/>
      <c r="CR108" s="4623"/>
      <c r="CS108" s="4624"/>
      <c r="CT108" s="4625"/>
      <c r="CU108" s="4626"/>
      <c r="CV108" s="4627"/>
      <c r="CW108" s="4628"/>
      <c r="CX108" s="4629"/>
      <c r="CY108" s="4630"/>
      <c r="CZ108" s="4631"/>
      <c r="DA108" s="4632"/>
      <c r="DB108" s="4633"/>
      <c r="DC108" s="4634"/>
      <c r="DD108" s="4635"/>
      <c r="DE108" s="4636"/>
      <c r="DF108" s="4637"/>
      <c r="DG108" s="4638"/>
      <c r="DH108" s="4639"/>
      <c r="DI108" s="4640"/>
      <c r="DJ108" s="4641"/>
      <c r="DK108" s="4642"/>
      <c r="DL108" s="4643"/>
      <c r="DM108" s="4644"/>
      <c r="DN108" s="4645"/>
      <c r="DO108" s="4646"/>
      <c r="DP108" s="4647"/>
      <c r="DQ108" s="4648"/>
      <c r="DR108" s="4649"/>
      <c r="DS108" s="4650"/>
      <c r="DT108" s="4651"/>
      <c r="DU108" s="4652"/>
      <c r="DV108" s="4653"/>
      <c r="DW108" s="4654"/>
      <c r="DX108" s="4655"/>
      <c r="DY108" s="4656"/>
      <c r="DZ108" s="4657"/>
      <c r="EA108" s="4658"/>
      <c r="EB108" s="4659"/>
      <c r="EC108" s="4660"/>
      <c r="ED108" s="4661"/>
      <c r="EE108" s="4662"/>
      <c r="EF108" s="4663"/>
      <c r="EG108" s="4664"/>
      <c r="EH108" s="4665"/>
      <c r="EI108" s="4666"/>
      <c r="EJ108" s="4667"/>
      <c r="EK108" s="4668"/>
      <c r="EL108" s="4669"/>
      <c r="EM108" s="14760"/>
      <c r="EN108" s="14761"/>
      <c r="EO108" s="14762"/>
      <c r="EP108" s="14763"/>
      <c r="EQ108" s="14764"/>
      <c r="ER108" s="14765"/>
      <c r="ES108" s="14766"/>
      <c r="ET108" s="14767"/>
      <c r="EU108" s="14768"/>
      <c r="EV108" s="14769"/>
      <c r="EW108" s="14770"/>
      <c r="EX108" s="4670"/>
      <c r="EY108" s="4671"/>
      <c r="EZ108" s="2199"/>
      <c r="FA108" s="2512"/>
      <c r="FB108" s="2512" t="str">
        <f t="shared" si="2"/>
        <v>Добавить группу потребителей</v>
      </c>
      <c r="FC108" s="2512"/>
      <c r="FD108" s="2512"/>
    </row>
    <row r="109" spans="1:160" s="14771" customFormat="1" ht="21" customHeight="1">
      <c r="A109" s="2502"/>
      <c r="B109" s="2502"/>
      <c r="C109" s="2502"/>
      <c r="D109" s="2502"/>
      <c r="E109" s="16125"/>
      <c r="F109" s="16125" t="s">
        <v>117</v>
      </c>
      <c r="G109" s="16125"/>
      <c r="H109" s="16124"/>
      <c r="I109" s="2502"/>
      <c r="J109" s="2502"/>
      <c r="K109" s="2502"/>
      <c r="L109" s="2503"/>
      <c r="M109" s="2504"/>
      <c r="N109" s="2504"/>
      <c r="O109" s="2193"/>
      <c r="P109" s="2775"/>
      <c r="Q109" s="2776"/>
      <c r="R109" s="2777"/>
      <c r="S109" s="4672"/>
      <c r="T109" s="4673" t="s">
        <v>623</v>
      </c>
      <c r="U109" s="4674"/>
      <c r="V109" s="4675"/>
      <c r="W109" s="4676"/>
      <c r="X109" s="4677"/>
      <c r="Y109" s="4678"/>
      <c r="Z109" s="4679"/>
      <c r="AA109" s="4680"/>
      <c r="AB109" s="4681"/>
      <c r="AC109" s="4682"/>
      <c r="AD109" s="4683"/>
      <c r="AE109" s="4684"/>
      <c r="AF109" s="4685"/>
      <c r="AG109" s="4686"/>
      <c r="AH109" s="4687"/>
      <c r="AI109" s="4688"/>
      <c r="AJ109" s="4689"/>
      <c r="AK109" s="4690"/>
      <c r="AL109" s="4691"/>
      <c r="AM109" s="4692"/>
      <c r="AN109" s="4693"/>
      <c r="AO109" s="4694"/>
      <c r="AP109" s="4695"/>
      <c r="AQ109" s="4696"/>
      <c r="AR109" s="4697"/>
      <c r="AS109" s="4698"/>
      <c r="AT109" s="4699"/>
      <c r="AU109" s="4700"/>
      <c r="AV109" s="4701"/>
      <c r="AW109" s="4702"/>
      <c r="AX109" s="4703"/>
      <c r="AY109" s="4704"/>
      <c r="AZ109" s="4705"/>
      <c r="BA109" s="4706"/>
      <c r="BB109" s="4707"/>
      <c r="BC109" s="4708"/>
      <c r="BD109" s="4709"/>
      <c r="BE109" s="4710"/>
      <c r="BF109" s="4711"/>
      <c r="BG109" s="4712"/>
      <c r="BH109" s="4713"/>
      <c r="BI109" s="4714"/>
      <c r="BJ109" s="4715"/>
      <c r="BK109" s="4716"/>
      <c r="BL109" s="4717"/>
      <c r="BM109" s="4718"/>
      <c r="BN109" s="4719"/>
      <c r="BO109" s="4720"/>
      <c r="BP109" s="4721"/>
      <c r="BQ109" s="4722"/>
      <c r="BR109" s="4723"/>
      <c r="BS109" s="4724"/>
      <c r="BT109" s="4725"/>
      <c r="BU109" s="4726"/>
      <c r="BV109" s="4727"/>
      <c r="BW109" s="4728"/>
      <c r="BX109" s="4729"/>
      <c r="BY109" s="4730"/>
      <c r="BZ109" s="4731"/>
      <c r="CA109" s="4732"/>
      <c r="CB109" s="4733"/>
      <c r="CC109" s="4734"/>
      <c r="CD109" s="4735"/>
      <c r="CE109" s="4736"/>
      <c r="CF109" s="4737"/>
      <c r="CG109" s="4738"/>
      <c r="CH109" s="4739"/>
      <c r="CI109" s="4740"/>
      <c r="CJ109" s="4741"/>
      <c r="CK109" s="4742"/>
      <c r="CL109" s="4743"/>
      <c r="CM109" s="4744"/>
      <c r="CN109" s="4745"/>
      <c r="CO109" s="4746"/>
      <c r="CP109" s="4747"/>
      <c r="CQ109" s="4748"/>
      <c r="CR109" s="4749"/>
      <c r="CS109" s="4750"/>
      <c r="CT109" s="4751"/>
      <c r="CU109" s="4752"/>
      <c r="CV109" s="4753"/>
      <c r="CW109" s="4754"/>
      <c r="CX109" s="4755"/>
      <c r="CY109" s="4756"/>
      <c r="CZ109" s="4757"/>
      <c r="DA109" s="4758"/>
      <c r="DB109" s="4759"/>
      <c r="DC109" s="4760"/>
      <c r="DD109" s="4761"/>
      <c r="DE109" s="4762"/>
      <c r="DF109" s="4763"/>
      <c r="DG109" s="4764"/>
      <c r="DH109" s="4765"/>
      <c r="DI109" s="4766"/>
      <c r="DJ109" s="4767"/>
      <c r="DK109" s="4768"/>
      <c r="DL109" s="4769"/>
      <c r="DM109" s="4770"/>
      <c r="DN109" s="4771"/>
      <c r="DO109" s="4772"/>
      <c r="DP109" s="4773"/>
      <c r="DQ109" s="4774"/>
      <c r="DR109" s="4775"/>
      <c r="DS109" s="4776"/>
      <c r="DT109" s="4777"/>
      <c r="DU109" s="4778"/>
      <c r="DV109" s="4779"/>
      <c r="DW109" s="4780"/>
      <c r="DX109" s="4781"/>
      <c r="DY109" s="4782"/>
      <c r="DZ109" s="4783"/>
      <c r="EA109" s="4784"/>
      <c r="EB109" s="4785"/>
      <c r="EC109" s="4786"/>
      <c r="ED109" s="4787"/>
      <c r="EE109" s="4788"/>
      <c r="EF109" s="4789"/>
      <c r="EG109" s="4790"/>
      <c r="EH109" s="4791"/>
      <c r="EI109" s="4792"/>
      <c r="EJ109" s="4793"/>
      <c r="EK109" s="4794"/>
      <c r="EL109" s="4795"/>
      <c r="EM109" s="14772"/>
      <c r="EN109" s="14773"/>
      <c r="EO109" s="14774"/>
      <c r="EP109" s="14775"/>
      <c r="EQ109" s="14776"/>
      <c r="ER109" s="14777"/>
      <c r="ES109" s="14778"/>
      <c r="ET109" s="14779"/>
      <c r="EU109" s="14780"/>
      <c r="EV109" s="14781"/>
      <c r="EW109" s="14782"/>
      <c r="EX109" s="4796"/>
      <c r="EY109" s="4797"/>
      <c r="EZ109" s="2199"/>
      <c r="FA109" s="2512"/>
      <c r="FB109" s="2512" t="str">
        <f t="shared" si="2"/>
        <v>Добавить наименование признака дифференциации</v>
      </c>
      <c r="FC109" s="2512"/>
      <c r="FD109" s="2512"/>
    </row>
    <row r="110" spans="1:160" s="14783" customFormat="1" ht="14.25" customHeight="1">
      <c r="A110" s="3283"/>
      <c r="B110" s="3283"/>
      <c r="C110" s="3283"/>
      <c r="D110" s="3283"/>
      <c r="E110" s="16125"/>
      <c r="F110" s="16124" t="s">
        <v>117</v>
      </c>
      <c r="G110" s="3283"/>
      <c r="H110" s="3283"/>
      <c r="I110" s="3283"/>
      <c r="J110" s="3283"/>
      <c r="K110" s="3283"/>
      <c r="L110" s="3284"/>
      <c r="M110" s="3285"/>
      <c r="N110" s="3285"/>
      <c r="O110" s="2199"/>
      <c r="P110" s="3286"/>
      <c r="Q110" s="3287"/>
      <c r="R110" s="3286"/>
      <c r="S110" s="3288"/>
      <c r="T110" s="3289" t="s">
        <v>290</v>
      </c>
      <c r="U110" s="2192"/>
      <c r="V110" s="2192"/>
      <c r="W110" s="2192"/>
      <c r="X110" s="2192"/>
      <c r="Y110" s="2192"/>
      <c r="Z110" s="2192"/>
      <c r="AA110" s="2192"/>
      <c r="AB110" s="2192"/>
      <c r="AC110" s="2192"/>
      <c r="AD110" s="2192"/>
      <c r="AE110" s="2192"/>
      <c r="AF110" s="2192"/>
      <c r="AG110" s="2192"/>
      <c r="AH110" s="2192"/>
      <c r="AI110" s="2192"/>
      <c r="AJ110" s="2192"/>
      <c r="AK110" s="2192"/>
      <c r="AL110" s="2192"/>
      <c r="AM110" s="2192"/>
      <c r="AN110" s="2192"/>
      <c r="AO110" s="2192"/>
      <c r="AP110" s="2192"/>
      <c r="AQ110" s="2192"/>
      <c r="AR110" s="2192"/>
      <c r="AS110" s="2192"/>
      <c r="AT110" s="2192"/>
      <c r="AU110" s="2192"/>
      <c r="AV110" s="2192"/>
      <c r="AW110" s="2192"/>
      <c r="AX110" s="2192"/>
      <c r="AY110" s="2192"/>
      <c r="AZ110" s="2192"/>
      <c r="BA110" s="2192"/>
      <c r="BB110" s="2192"/>
      <c r="BC110" s="2192"/>
      <c r="BD110" s="2192"/>
      <c r="BE110" s="2192"/>
      <c r="BF110" s="2192"/>
      <c r="BG110" s="2192"/>
      <c r="BH110" s="2192"/>
      <c r="BI110" s="2192"/>
      <c r="BJ110" s="2192"/>
      <c r="BK110" s="2192"/>
      <c r="BL110" s="2192"/>
      <c r="BM110" s="2192"/>
      <c r="BN110" s="2192"/>
      <c r="BO110" s="2192"/>
      <c r="BP110" s="2192"/>
      <c r="BQ110" s="2192"/>
      <c r="BR110" s="2192"/>
      <c r="BS110" s="2192"/>
      <c r="BT110" s="2192"/>
      <c r="BU110" s="2192"/>
      <c r="BV110" s="2192"/>
      <c r="BW110" s="2192"/>
      <c r="BX110" s="2192"/>
      <c r="BY110" s="2192"/>
      <c r="BZ110" s="2192"/>
      <c r="CA110" s="2192"/>
      <c r="CB110" s="2192"/>
      <c r="CC110" s="2192"/>
      <c r="CD110" s="2192"/>
      <c r="CE110" s="2192"/>
      <c r="CF110" s="2192"/>
      <c r="CG110" s="2192"/>
      <c r="CH110" s="2192"/>
      <c r="CI110" s="2192"/>
      <c r="CJ110" s="2192"/>
      <c r="CK110" s="2192"/>
      <c r="CL110" s="2192"/>
      <c r="CM110" s="2192"/>
      <c r="CN110" s="2192"/>
      <c r="CO110" s="2192"/>
      <c r="CP110" s="2192"/>
      <c r="CQ110" s="2192"/>
      <c r="CR110" s="2192"/>
      <c r="CS110" s="2192"/>
      <c r="CT110" s="2192"/>
      <c r="CU110" s="2192"/>
      <c r="CV110" s="2192"/>
      <c r="CW110" s="2192"/>
      <c r="CX110" s="2192"/>
      <c r="CY110" s="2192"/>
      <c r="CZ110" s="2192"/>
      <c r="DA110" s="2192"/>
      <c r="DB110" s="2192"/>
      <c r="DC110" s="2192"/>
      <c r="DD110" s="2192"/>
      <c r="DE110" s="2192"/>
      <c r="DF110" s="2192"/>
      <c r="DG110" s="2192"/>
      <c r="DH110" s="2192"/>
      <c r="DI110" s="2192"/>
      <c r="DJ110" s="2192"/>
      <c r="DK110" s="2192"/>
      <c r="DL110" s="2192"/>
      <c r="DM110" s="2192"/>
      <c r="DN110" s="2192"/>
      <c r="DO110" s="2192"/>
      <c r="DP110" s="2192"/>
      <c r="DQ110" s="2192"/>
      <c r="DR110" s="2192"/>
      <c r="DS110" s="2192"/>
      <c r="DT110" s="2192"/>
      <c r="DU110" s="2192"/>
      <c r="DV110" s="2192"/>
      <c r="DW110" s="2192"/>
      <c r="DX110" s="2192"/>
      <c r="DY110" s="2192"/>
      <c r="DZ110" s="2192"/>
      <c r="EA110" s="2192"/>
      <c r="EB110" s="2192"/>
      <c r="EC110" s="2192"/>
      <c r="ED110" s="2192"/>
      <c r="EE110" s="2192"/>
      <c r="EF110" s="2192"/>
      <c r="EG110" s="2192"/>
      <c r="EH110" s="2192"/>
      <c r="EI110" s="2192"/>
      <c r="EJ110" s="2192"/>
      <c r="EK110" s="2192"/>
      <c r="EL110" s="2192"/>
      <c r="EM110" s="14483"/>
      <c r="EN110" s="14483"/>
      <c r="EO110" s="14483"/>
      <c r="EP110" s="14483"/>
      <c r="EQ110" s="14483"/>
      <c r="ER110" s="14483"/>
      <c r="ES110" s="14483"/>
      <c r="ET110" s="14483"/>
      <c r="EU110" s="14483"/>
      <c r="EV110" s="14483"/>
      <c r="EW110" s="14483"/>
      <c r="EX110" s="2192"/>
      <c r="EY110" s="2192"/>
      <c r="EZ110" s="2199"/>
      <c r="FA110" s="2512"/>
      <c r="FB110" s="2512" t="str">
        <f t="shared" si="2"/>
        <v>Добавить централизованную систему для дифференциации</v>
      </c>
      <c r="FC110" s="2512"/>
      <c r="FD110" s="2512"/>
    </row>
    <row r="111" spans="1:160" s="14784" customFormat="1" ht="23.25" customHeight="1">
      <c r="A111" s="2502"/>
      <c r="B111" s="2502" t="s">
        <v>309</v>
      </c>
      <c r="C111" s="2502"/>
      <c r="D111" s="2502"/>
      <c r="E111" s="16125"/>
      <c r="F111" s="16124" t="s">
        <v>92</v>
      </c>
      <c r="G111" s="2502"/>
      <c r="H111" s="2502"/>
      <c r="I111" s="2502"/>
      <c r="J111" s="2502"/>
      <c r="K111" s="2502"/>
      <c r="L111" s="2503"/>
      <c r="M111" s="2504"/>
      <c r="N111" s="2504"/>
      <c r="O111" s="2504"/>
      <c r="P111" s="2904"/>
      <c r="Q111" s="2506"/>
      <c r="R111" s="2507"/>
      <c r="S111" s="2508" t="str">
        <f>INDEX(PT_DIFFERENTIATION_NUM_TER,MATCH(B111,PT_DIFFERENTIATION_TER_ID,0))</f>
        <v>1.7</v>
      </c>
      <c r="T111" s="2905" t="s">
        <v>534</v>
      </c>
      <c r="U111" s="2510"/>
      <c r="V111" s="16110"/>
      <c r="W111" s="16111"/>
      <c r="X111" s="16111"/>
      <c r="Y111" s="16111"/>
      <c r="Z111" s="16111"/>
      <c r="AA111" s="16111"/>
      <c r="AB111" s="16111"/>
      <c r="AC111" s="16111"/>
      <c r="AD111" s="16111"/>
      <c r="AE111" s="16111"/>
      <c r="AF111" s="16112"/>
      <c r="AG111" s="16110" t="str">
        <f>INDEX(PT_DIFFERENTIATION_TER,MATCH(B111,PT_DIFFERENTIATION_TER_ID,0))</f>
        <v>Территория 7</v>
      </c>
      <c r="AH111" s="16111"/>
      <c r="AI111" s="16111"/>
      <c r="AJ111" s="16111"/>
      <c r="AK111" s="16111"/>
      <c r="AL111" s="16111"/>
      <c r="AM111" s="16111"/>
      <c r="AN111" s="16111"/>
      <c r="AO111" s="16111"/>
      <c r="AP111" s="16111"/>
      <c r="AQ111" s="16111"/>
      <c r="AR111" s="16110"/>
      <c r="AS111" s="16111"/>
      <c r="AT111" s="16111"/>
      <c r="AU111" s="16111"/>
      <c r="AV111" s="16111"/>
      <c r="AW111" s="16111"/>
      <c r="AX111" s="16111"/>
      <c r="AY111" s="16111"/>
      <c r="AZ111" s="16111"/>
      <c r="BA111" s="16111"/>
      <c r="BB111" s="16112"/>
      <c r="BC111" s="16110"/>
      <c r="BD111" s="16111"/>
      <c r="BE111" s="16111"/>
      <c r="BF111" s="16111"/>
      <c r="BG111" s="16111"/>
      <c r="BH111" s="16111"/>
      <c r="BI111" s="16111"/>
      <c r="BJ111" s="16111"/>
      <c r="BK111" s="16111"/>
      <c r="BL111" s="16111"/>
      <c r="BM111" s="16112"/>
      <c r="BN111" s="16110"/>
      <c r="BO111" s="16111"/>
      <c r="BP111" s="16111"/>
      <c r="BQ111" s="16111"/>
      <c r="BR111" s="16111"/>
      <c r="BS111" s="16111"/>
      <c r="BT111" s="16111"/>
      <c r="BU111" s="16111"/>
      <c r="BV111" s="16111"/>
      <c r="BW111" s="16111"/>
      <c r="BX111" s="16112"/>
      <c r="BY111" s="16110"/>
      <c r="BZ111" s="16111"/>
      <c r="CA111" s="16111"/>
      <c r="CB111" s="16111"/>
      <c r="CC111" s="16111"/>
      <c r="CD111" s="16111"/>
      <c r="CE111" s="16111"/>
      <c r="CF111" s="16111"/>
      <c r="CG111" s="16111"/>
      <c r="CH111" s="16111"/>
      <c r="CI111" s="16112"/>
      <c r="CJ111" s="16110"/>
      <c r="CK111" s="16111"/>
      <c r="CL111" s="16111"/>
      <c r="CM111" s="16111"/>
      <c r="CN111" s="16111"/>
      <c r="CO111" s="16111"/>
      <c r="CP111" s="16111"/>
      <c r="CQ111" s="16111"/>
      <c r="CR111" s="16111"/>
      <c r="CS111" s="16111"/>
      <c r="CT111" s="16112"/>
      <c r="CU111" s="16110"/>
      <c r="CV111" s="16111"/>
      <c r="CW111" s="16111"/>
      <c r="CX111" s="16111"/>
      <c r="CY111" s="16111"/>
      <c r="CZ111" s="16111"/>
      <c r="DA111" s="16111"/>
      <c r="DB111" s="16111"/>
      <c r="DC111" s="16111"/>
      <c r="DD111" s="16111"/>
      <c r="DE111" s="16112"/>
      <c r="DF111" s="16110"/>
      <c r="DG111" s="16111"/>
      <c r="DH111" s="16111"/>
      <c r="DI111" s="16111"/>
      <c r="DJ111" s="16111"/>
      <c r="DK111" s="16111"/>
      <c r="DL111" s="16111"/>
      <c r="DM111" s="16111"/>
      <c r="DN111" s="16111"/>
      <c r="DO111" s="16111"/>
      <c r="DP111" s="16112"/>
      <c r="DQ111" s="16110"/>
      <c r="DR111" s="16111"/>
      <c r="DS111" s="16111"/>
      <c r="DT111" s="16111"/>
      <c r="DU111" s="16111"/>
      <c r="DV111" s="16111"/>
      <c r="DW111" s="16111"/>
      <c r="DX111" s="16111"/>
      <c r="DY111" s="16111"/>
      <c r="DZ111" s="16111"/>
      <c r="EA111" s="16112"/>
      <c r="EB111" s="16110"/>
      <c r="EC111" s="16111"/>
      <c r="ED111" s="16111"/>
      <c r="EE111" s="16111"/>
      <c r="EF111" s="16111"/>
      <c r="EG111" s="16111"/>
      <c r="EH111" s="16111"/>
      <c r="EI111" s="16111"/>
      <c r="EJ111" s="16111"/>
      <c r="EK111" s="16111"/>
      <c r="EL111" s="16112"/>
      <c r="EM111" s="16110"/>
      <c r="EN111" s="16111"/>
      <c r="EO111" s="16111"/>
      <c r="EP111" s="16111"/>
      <c r="EQ111" s="16111"/>
      <c r="ER111" s="16111"/>
      <c r="ES111" s="16111"/>
      <c r="ET111" s="16111"/>
      <c r="EU111" s="16111"/>
      <c r="EV111" s="16111"/>
      <c r="EW111" s="16112"/>
      <c r="EX111" s="16112"/>
      <c r="EY111" s="2511" t="s">
        <v>535</v>
      </c>
      <c r="EZ111" s="2199"/>
      <c r="FA111" s="2512"/>
      <c r="FB111" s="2512" t="str">
        <f t="shared" si="2"/>
        <v>Территория действия тарифа</v>
      </c>
      <c r="FC111" s="2512"/>
      <c r="FD111" s="2512"/>
    </row>
    <row r="112" spans="1:160" s="14785" customFormat="1" ht="23.25" customHeight="1">
      <c r="A112" s="2502"/>
      <c r="B112" s="2502"/>
      <c r="C112" s="2502" t="s">
        <v>310</v>
      </c>
      <c r="D112" s="2502"/>
      <c r="E112" s="16125"/>
      <c r="F112" s="16125" t="s">
        <v>91</v>
      </c>
      <c r="G112" s="16124">
        <v>1</v>
      </c>
      <c r="H112" s="2502"/>
      <c r="I112" s="2502"/>
      <c r="J112" s="2502"/>
      <c r="K112" s="2502"/>
      <c r="L112" s="2503"/>
      <c r="M112" s="2504"/>
      <c r="N112" s="2504"/>
      <c r="O112" s="2504"/>
      <c r="P112" s="2505"/>
      <c r="Q112" s="2506"/>
      <c r="R112" s="2507"/>
      <c r="S112" s="2508" t="str">
        <f>INDEX(PT_DIFFERENTIATION_NUM_CS,MATCH(C112,PT_DIFFERENTIATION_CS_ID,0))</f>
        <v>1.7.1</v>
      </c>
      <c r="T112" s="2509" t="s">
        <v>665</v>
      </c>
      <c r="U112" s="2510"/>
      <c r="V112" s="16110"/>
      <c r="W112" s="16111"/>
      <c r="X112" s="16111"/>
      <c r="Y112" s="16111"/>
      <c r="Z112" s="16111"/>
      <c r="AA112" s="16111"/>
      <c r="AB112" s="16111"/>
      <c r="AC112" s="16111"/>
      <c r="AD112" s="16111"/>
      <c r="AE112" s="16111"/>
      <c r="AF112" s="16112"/>
      <c r="AG112" s="16110" t="str">
        <f>INDEX(PT_DIFFERENTIATION_CS,MATCH(C112,PT_DIFFERENTIATION_CS_ID,0))</f>
        <v>без дифференциации</v>
      </c>
      <c r="AH112" s="16111"/>
      <c r="AI112" s="16111"/>
      <c r="AJ112" s="16111"/>
      <c r="AK112" s="16111"/>
      <c r="AL112" s="16111"/>
      <c r="AM112" s="16111"/>
      <c r="AN112" s="16111"/>
      <c r="AO112" s="16111"/>
      <c r="AP112" s="16111"/>
      <c r="AQ112" s="16111"/>
      <c r="AR112" s="16110"/>
      <c r="AS112" s="16111"/>
      <c r="AT112" s="16111"/>
      <c r="AU112" s="16111"/>
      <c r="AV112" s="16111"/>
      <c r="AW112" s="16111"/>
      <c r="AX112" s="16111"/>
      <c r="AY112" s="16111"/>
      <c r="AZ112" s="16111"/>
      <c r="BA112" s="16111"/>
      <c r="BB112" s="16112"/>
      <c r="BC112" s="16110"/>
      <c r="BD112" s="16111"/>
      <c r="BE112" s="16111"/>
      <c r="BF112" s="16111"/>
      <c r="BG112" s="16111"/>
      <c r="BH112" s="16111"/>
      <c r="BI112" s="16111"/>
      <c r="BJ112" s="16111"/>
      <c r="BK112" s="16111"/>
      <c r="BL112" s="16111"/>
      <c r="BM112" s="16112"/>
      <c r="BN112" s="16110"/>
      <c r="BO112" s="16111"/>
      <c r="BP112" s="16111"/>
      <c r="BQ112" s="16111"/>
      <c r="BR112" s="16111"/>
      <c r="BS112" s="16111"/>
      <c r="BT112" s="16111"/>
      <c r="BU112" s="16111"/>
      <c r="BV112" s="16111"/>
      <c r="BW112" s="16111"/>
      <c r="BX112" s="16112"/>
      <c r="BY112" s="16110"/>
      <c r="BZ112" s="16111"/>
      <c r="CA112" s="16111"/>
      <c r="CB112" s="16111"/>
      <c r="CC112" s="16111"/>
      <c r="CD112" s="16111"/>
      <c r="CE112" s="16111"/>
      <c r="CF112" s="16111"/>
      <c r="CG112" s="16111"/>
      <c r="CH112" s="16111"/>
      <c r="CI112" s="16112"/>
      <c r="CJ112" s="16110"/>
      <c r="CK112" s="16111"/>
      <c r="CL112" s="16111"/>
      <c r="CM112" s="16111"/>
      <c r="CN112" s="16111"/>
      <c r="CO112" s="16111"/>
      <c r="CP112" s="16111"/>
      <c r="CQ112" s="16111"/>
      <c r="CR112" s="16111"/>
      <c r="CS112" s="16111"/>
      <c r="CT112" s="16112"/>
      <c r="CU112" s="16110"/>
      <c r="CV112" s="16111"/>
      <c r="CW112" s="16111"/>
      <c r="CX112" s="16111"/>
      <c r="CY112" s="16111"/>
      <c r="CZ112" s="16111"/>
      <c r="DA112" s="16111"/>
      <c r="DB112" s="16111"/>
      <c r="DC112" s="16111"/>
      <c r="DD112" s="16111"/>
      <c r="DE112" s="16112"/>
      <c r="DF112" s="16110"/>
      <c r="DG112" s="16111"/>
      <c r="DH112" s="16111"/>
      <c r="DI112" s="16111"/>
      <c r="DJ112" s="16111"/>
      <c r="DK112" s="16111"/>
      <c r="DL112" s="16111"/>
      <c r="DM112" s="16111"/>
      <c r="DN112" s="16111"/>
      <c r="DO112" s="16111"/>
      <c r="DP112" s="16112"/>
      <c r="DQ112" s="16110"/>
      <c r="DR112" s="16111"/>
      <c r="DS112" s="16111"/>
      <c r="DT112" s="16111"/>
      <c r="DU112" s="16111"/>
      <c r="DV112" s="16111"/>
      <c r="DW112" s="16111"/>
      <c r="DX112" s="16111"/>
      <c r="DY112" s="16111"/>
      <c r="DZ112" s="16111"/>
      <c r="EA112" s="16112"/>
      <c r="EB112" s="16110"/>
      <c r="EC112" s="16111"/>
      <c r="ED112" s="16111"/>
      <c r="EE112" s="16111"/>
      <c r="EF112" s="16111"/>
      <c r="EG112" s="16111"/>
      <c r="EH112" s="16111"/>
      <c r="EI112" s="16111"/>
      <c r="EJ112" s="16111"/>
      <c r="EK112" s="16111"/>
      <c r="EL112" s="16112"/>
      <c r="EM112" s="16110"/>
      <c r="EN112" s="16111"/>
      <c r="EO112" s="16111"/>
      <c r="EP112" s="16111"/>
      <c r="EQ112" s="16111"/>
      <c r="ER112" s="16111"/>
      <c r="ES112" s="16111"/>
      <c r="ET112" s="16111"/>
      <c r="EU112" s="16111"/>
      <c r="EV112" s="16111"/>
      <c r="EW112" s="16112"/>
      <c r="EX112" s="16112"/>
      <c r="EY112" s="2511" t="s">
        <v>666</v>
      </c>
      <c r="EZ112" s="2199"/>
      <c r="FA112" s="2512"/>
      <c r="FB112" s="2512" t="str">
        <f t="shared" si="2"/>
        <v>Наименование централизованной системы горячего водоснабжения</v>
      </c>
      <c r="FC112" s="2512"/>
      <c r="FD112" s="2512"/>
    </row>
    <row r="113" spans="1:160" s="14786" customFormat="1" ht="23.25" customHeight="1">
      <c r="A113" s="2502"/>
      <c r="B113" s="2502"/>
      <c r="C113" s="2502"/>
      <c r="D113" s="2502"/>
      <c r="E113" s="16125"/>
      <c r="F113" s="16125" t="s">
        <v>91</v>
      </c>
      <c r="G113" s="16125"/>
      <c r="H113" s="16125"/>
      <c r="I113" s="16122" t="str">
        <f>S112&amp;".1"</f>
        <v>1.7.1.1</v>
      </c>
      <c r="J113" s="2502"/>
      <c r="K113" s="2502"/>
      <c r="L113" s="2503"/>
      <c r="M113" s="2513"/>
      <c r="N113" s="2513"/>
      <c r="O113" s="2513"/>
      <c r="P113" s="16123">
        <v>1</v>
      </c>
      <c r="Q113" s="2514"/>
      <c r="R113" s="2515"/>
      <c r="S113" s="2508" t="str">
        <f>$I113</f>
        <v>1.7.1.1</v>
      </c>
      <c r="T113" s="2516" t="s">
        <v>618</v>
      </c>
      <c r="U113" s="2510"/>
      <c r="V113" s="16183"/>
      <c r="W113" s="16184"/>
      <c r="X113" s="16184"/>
      <c r="Y113" s="16184"/>
      <c r="Z113" s="16184"/>
      <c r="AA113" s="16184"/>
      <c r="AB113" s="16184"/>
      <c r="AC113" s="16184"/>
      <c r="AD113" s="16184"/>
      <c r="AE113" s="16184"/>
      <c r="AF113" s="16185"/>
      <c r="AG113" s="16186"/>
      <c r="AH113" s="16187"/>
      <c r="AI113" s="16187"/>
      <c r="AJ113" s="16187"/>
      <c r="AK113" s="16187"/>
      <c r="AL113" s="16187"/>
      <c r="AM113" s="16187"/>
      <c r="AN113" s="16187"/>
      <c r="AO113" s="16187"/>
      <c r="AP113" s="16187"/>
      <c r="AQ113" s="16187"/>
      <c r="AR113" s="16183"/>
      <c r="AS113" s="16184"/>
      <c r="AT113" s="16184"/>
      <c r="AU113" s="16184"/>
      <c r="AV113" s="16184"/>
      <c r="AW113" s="16184"/>
      <c r="AX113" s="16184"/>
      <c r="AY113" s="16184"/>
      <c r="AZ113" s="16184"/>
      <c r="BA113" s="16184"/>
      <c r="BB113" s="16185"/>
      <c r="BC113" s="16183"/>
      <c r="BD113" s="16184"/>
      <c r="BE113" s="16184"/>
      <c r="BF113" s="16184"/>
      <c r="BG113" s="16184"/>
      <c r="BH113" s="16184"/>
      <c r="BI113" s="16184"/>
      <c r="BJ113" s="16184"/>
      <c r="BK113" s="16184"/>
      <c r="BL113" s="16184"/>
      <c r="BM113" s="16185"/>
      <c r="BN113" s="16183"/>
      <c r="BO113" s="16184"/>
      <c r="BP113" s="16184"/>
      <c r="BQ113" s="16184"/>
      <c r="BR113" s="16184"/>
      <c r="BS113" s="16184"/>
      <c r="BT113" s="16184"/>
      <c r="BU113" s="16184"/>
      <c r="BV113" s="16184"/>
      <c r="BW113" s="16184"/>
      <c r="BX113" s="16185"/>
      <c r="BY113" s="16183"/>
      <c r="BZ113" s="16184"/>
      <c r="CA113" s="16184"/>
      <c r="CB113" s="16184"/>
      <c r="CC113" s="16184"/>
      <c r="CD113" s="16184"/>
      <c r="CE113" s="16184"/>
      <c r="CF113" s="16184"/>
      <c r="CG113" s="16184"/>
      <c r="CH113" s="16184"/>
      <c r="CI113" s="16185"/>
      <c r="CJ113" s="16183"/>
      <c r="CK113" s="16184"/>
      <c r="CL113" s="16184"/>
      <c r="CM113" s="16184"/>
      <c r="CN113" s="16184"/>
      <c r="CO113" s="16184"/>
      <c r="CP113" s="16184"/>
      <c r="CQ113" s="16184"/>
      <c r="CR113" s="16184"/>
      <c r="CS113" s="16184"/>
      <c r="CT113" s="16185"/>
      <c r="CU113" s="16183"/>
      <c r="CV113" s="16184"/>
      <c r="CW113" s="16184"/>
      <c r="CX113" s="16184"/>
      <c r="CY113" s="16184"/>
      <c r="CZ113" s="16184"/>
      <c r="DA113" s="16184"/>
      <c r="DB113" s="16184"/>
      <c r="DC113" s="16184"/>
      <c r="DD113" s="16184"/>
      <c r="DE113" s="16185"/>
      <c r="DF113" s="16183"/>
      <c r="DG113" s="16184"/>
      <c r="DH113" s="16184"/>
      <c r="DI113" s="16184"/>
      <c r="DJ113" s="16184"/>
      <c r="DK113" s="16184"/>
      <c r="DL113" s="16184"/>
      <c r="DM113" s="16184"/>
      <c r="DN113" s="16184"/>
      <c r="DO113" s="16184"/>
      <c r="DP113" s="16185"/>
      <c r="DQ113" s="16183"/>
      <c r="DR113" s="16184"/>
      <c r="DS113" s="16184"/>
      <c r="DT113" s="16184"/>
      <c r="DU113" s="16184"/>
      <c r="DV113" s="16184"/>
      <c r="DW113" s="16184"/>
      <c r="DX113" s="16184"/>
      <c r="DY113" s="16184"/>
      <c r="DZ113" s="16184"/>
      <c r="EA113" s="16185"/>
      <c r="EB113" s="16183"/>
      <c r="EC113" s="16184"/>
      <c r="ED113" s="16184"/>
      <c r="EE113" s="16184"/>
      <c r="EF113" s="16184"/>
      <c r="EG113" s="16184"/>
      <c r="EH113" s="16184"/>
      <c r="EI113" s="16184"/>
      <c r="EJ113" s="16184"/>
      <c r="EK113" s="16184"/>
      <c r="EL113" s="16185"/>
      <c r="EM113" s="16183"/>
      <c r="EN113" s="16184"/>
      <c r="EO113" s="16184"/>
      <c r="EP113" s="16184"/>
      <c r="EQ113" s="16184"/>
      <c r="ER113" s="16184"/>
      <c r="ES113" s="16184"/>
      <c r="ET113" s="16184"/>
      <c r="EU113" s="16184"/>
      <c r="EV113" s="16184"/>
      <c r="EW113" s="16185"/>
      <c r="EX113" s="16188"/>
      <c r="EY113" s="2511" t="s">
        <v>619</v>
      </c>
      <c r="EZ113" s="2199"/>
      <c r="FA113" s="2512"/>
      <c r="FB113" s="2512" t="str">
        <f t="shared" si="2"/>
        <v>Наименование признака дифференциации</v>
      </c>
      <c r="FC113" s="2512"/>
      <c r="FD113" s="2512"/>
    </row>
    <row r="114" spans="1:160" s="14787" customFormat="1" ht="23.25" customHeight="1">
      <c r="A114" s="2502"/>
      <c r="B114" s="2502"/>
      <c r="C114" s="2502"/>
      <c r="D114" s="2502"/>
      <c r="E114" s="16125"/>
      <c r="F114" s="16125" t="s">
        <v>91</v>
      </c>
      <c r="G114" s="16125"/>
      <c r="H114" s="16125"/>
      <c r="I114" s="16145"/>
      <c r="J114" s="16122" t="str">
        <f>I113&amp;".1"</f>
        <v>1.7.1.1.1</v>
      </c>
      <c r="K114" s="2502"/>
      <c r="L114" s="2503" t="s">
        <v>543</v>
      </c>
      <c r="M114" s="2513"/>
      <c r="N114" s="2513"/>
      <c r="O114" s="2513"/>
      <c r="P114" s="16123"/>
      <c r="Q114" s="16123">
        <v>1</v>
      </c>
      <c r="R114" s="2517"/>
      <c r="S114" s="2508" t="str">
        <f>$J114</f>
        <v>1.7.1.1.1</v>
      </c>
      <c r="T114" s="2518" t="s">
        <v>544</v>
      </c>
      <c r="U114" s="2510"/>
      <c r="V114" s="16113"/>
      <c r="W114" s="16114"/>
      <c r="X114" s="16114"/>
      <c r="Y114" s="16114"/>
      <c r="Z114" s="16114"/>
      <c r="AA114" s="16114"/>
      <c r="AB114" s="16114"/>
      <c r="AC114" s="16114"/>
      <c r="AD114" s="16114"/>
      <c r="AE114" s="16114"/>
      <c r="AF114" s="16115"/>
      <c r="AG114" s="16113" t="s">
        <v>678</v>
      </c>
      <c r="AH114" s="16114"/>
      <c r="AI114" s="16114"/>
      <c r="AJ114" s="16114"/>
      <c r="AK114" s="16114"/>
      <c r="AL114" s="16114"/>
      <c r="AM114" s="16114"/>
      <c r="AN114" s="16114"/>
      <c r="AO114" s="16114"/>
      <c r="AP114" s="16114"/>
      <c r="AQ114" s="16114"/>
      <c r="AR114" s="16113"/>
      <c r="AS114" s="16114"/>
      <c r="AT114" s="16114"/>
      <c r="AU114" s="16114"/>
      <c r="AV114" s="16114"/>
      <c r="AW114" s="16114"/>
      <c r="AX114" s="16114"/>
      <c r="AY114" s="16114"/>
      <c r="AZ114" s="16114"/>
      <c r="BA114" s="16114"/>
      <c r="BB114" s="16115"/>
      <c r="BC114" s="16113"/>
      <c r="BD114" s="16114"/>
      <c r="BE114" s="16114"/>
      <c r="BF114" s="16114"/>
      <c r="BG114" s="16114"/>
      <c r="BH114" s="16114"/>
      <c r="BI114" s="16114"/>
      <c r="BJ114" s="16114"/>
      <c r="BK114" s="16114"/>
      <c r="BL114" s="16114"/>
      <c r="BM114" s="16115"/>
      <c r="BN114" s="16113"/>
      <c r="BO114" s="16114"/>
      <c r="BP114" s="16114"/>
      <c r="BQ114" s="16114"/>
      <c r="BR114" s="16114"/>
      <c r="BS114" s="16114"/>
      <c r="BT114" s="16114"/>
      <c r="BU114" s="16114"/>
      <c r="BV114" s="16114"/>
      <c r="BW114" s="16114"/>
      <c r="BX114" s="16115"/>
      <c r="BY114" s="16113"/>
      <c r="BZ114" s="16114"/>
      <c r="CA114" s="16114"/>
      <c r="CB114" s="16114"/>
      <c r="CC114" s="16114"/>
      <c r="CD114" s="16114"/>
      <c r="CE114" s="16114"/>
      <c r="CF114" s="16114"/>
      <c r="CG114" s="16114"/>
      <c r="CH114" s="16114"/>
      <c r="CI114" s="16115"/>
      <c r="CJ114" s="16113"/>
      <c r="CK114" s="16114"/>
      <c r="CL114" s="16114"/>
      <c r="CM114" s="16114"/>
      <c r="CN114" s="16114"/>
      <c r="CO114" s="16114"/>
      <c r="CP114" s="16114"/>
      <c r="CQ114" s="16114"/>
      <c r="CR114" s="16114"/>
      <c r="CS114" s="16114"/>
      <c r="CT114" s="16115"/>
      <c r="CU114" s="16113"/>
      <c r="CV114" s="16114"/>
      <c r="CW114" s="16114"/>
      <c r="CX114" s="16114"/>
      <c r="CY114" s="16114"/>
      <c r="CZ114" s="16114"/>
      <c r="DA114" s="16114"/>
      <c r="DB114" s="16114"/>
      <c r="DC114" s="16114"/>
      <c r="DD114" s="16114"/>
      <c r="DE114" s="16115"/>
      <c r="DF114" s="16113"/>
      <c r="DG114" s="16114"/>
      <c r="DH114" s="16114"/>
      <c r="DI114" s="16114"/>
      <c r="DJ114" s="16114"/>
      <c r="DK114" s="16114"/>
      <c r="DL114" s="16114"/>
      <c r="DM114" s="16114"/>
      <c r="DN114" s="16114"/>
      <c r="DO114" s="16114"/>
      <c r="DP114" s="16115"/>
      <c r="DQ114" s="16113"/>
      <c r="DR114" s="16114"/>
      <c r="DS114" s="16114"/>
      <c r="DT114" s="16114"/>
      <c r="DU114" s="16114"/>
      <c r="DV114" s="16114"/>
      <c r="DW114" s="16114"/>
      <c r="DX114" s="16114"/>
      <c r="DY114" s="16114"/>
      <c r="DZ114" s="16114"/>
      <c r="EA114" s="16115"/>
      <c r="EB114" s="16113"/>
      <c r="EC114" s="16114"/>
      <c r="ED114" s="16114"/>
      <c r="EE114" s="16114"/>
      <c r="EF114" s="16114"/>
      <c r="EG114" s="16114"/>
      <c r="EH114" s="16114"/>
      <c r="EI114" s="16114"/>
      <c r="EJ114" s="16114"/>
      <c r="EK114" s="16114"/>
      <c r="EL114" s="16115"/>
      <c r="EM114" s="16113"/>
      <c r="EN114" s="16114"/>
      <c r="EO114" s="16114"/>
      <c r="EP114" s="16114"/>
      <c r="EQ114" s="16114"/>
      <c r="ER114" s="16114"/>
      <c r="ES114" s="16114"/>
      <c r="ET114" s="16114"/>
      <c r="EU114" s="16114"/>
      <c r="EV114" s="16114"/>
      <c r="EW114" s="16115"/>
      <c r="EX114" s="16115"/>
      <c r="EY114" s="2519" t="s">
        <v>620</v>
      </c>
      <c r="EZ114" s="2199"/>
      <c r="FA114" s="2512"/>
      <c r="FB114" s="2512" t="str">
        <f t="shared" si="2"/>
        <v>Группа потребителей</v>
      </c>
      <c r="FC114" s="2512"/>
      <c r="FD114" s="2512"/>
    </row>
    <row r="115" spans="1:160" s="14788" customFormat="1" ht="23.25" customHeight="1">
      <c r="A115" s="2502"/>
      <c r="B115" s="2502"/>
      <c r="C115" s="2502"/>
      <c r="D115" s="2502"/>
      <c r="E115" s="16125"/>
      <c r="F115" s="16125" t="s">
        <v>91</v>
      </c>
      <c r="G115" s="16125"/>
      <c r="H115" s="16125"/>
      <c r="I115" s="16145"/>
      <c r="J115" s="16145"/>
      <c r="K115" s="16122" t="str">
        <f>J114&amp;".1"</f>
        <v>1.7.1.1.1.1</v>
      </c>
      <c r="L115" s="2503"/>
      <c r="M115" s="2513"/>
      <c r="N115" s="2513"/>
      <c r="O115" s="2513"/>
      <c r="P115" s="16123"/>
      <c r="Q115" s="16123"/>
      <c r="R115" s="2517">
        <v>1</v>
      </c>
      <c r="S115" s="2508" t="str">
        <f>$K115</f>
        <v>1.7.1.1.1.1</v>
      </c>
      <c r="T115" s="2520"/>
      <c r="U115" s="2510"/>
      <c r="V115" s="1893"/>
      <c r="W115" s="1893"/>
      <c r="X115" s="1893"/>
      <c r="Y115" s="1893"/>
      <c r="Z115" s="1893"/>
      <c r="AA115" s="1893"/>
      <c r="AB115" s="1893"/>
      <c r="AC115" s="16127"/>
      <c r="AD115" s="15973" t="s">
        <v>66</v>
      </c>
      <c r="AE115" s="16127"/>
      <c r="AF115" s="15973" t="s">
        <v>66</v>
      </c>
      <c r="AG115" s="1893">
        <v>45</v>
      </c>
      <c r="AH115" s="1893"/>
      <c r="AI115" s="1893"/>
      <c r="AJ115" s="1893"/>
      <c r="AK115" s="1893">
        <v>3804.36</v>
      </c>
      <c r="AL115" s="1893"/>
      <c r="AM115" s="1893"/>
      <c r="AN115" s="16127">
        <v>45292</v>
      </c>
      <c r="AO115" s="15973" t="s">
        <v>66</v>
      </c>
      <c r="AP115" s="16146">
        <v>45378</v>
      </c>
      <c r="AQ115" s="15973" t="s">
        <v>66</v>
      </c>
      <c r="AR115" s="1893">
        <v>45</v>
      </c>
      <c r="AS115" s="1893"/>
      <c r="AT115" s="1893"/>
      <c r="AU115" s="1893"/>
      <c r="AV115" s="1893">
        <v>3804.36</v>
      </c>
      <c r="AW115" s="1893"/>
      <c r="AX115" s="1893"/>
      <c r="AY115" s="16127">
        <v>45379</v>
      </c>
      <c r="AZ115" s="15973" t="s">
        <v>66</v>
      </c>
      <c r="BA115" s="16127">
        <v>45473</v>
      </c>
      <c r="BB115" s="15973" t="s">
        <v>66</v>
      </c>
      <c r="BC115" s="1893">
        <v>50.66</v>
      </c>
      <c r="BD115" s="1893"/>
      <c r="BE115" s="1893"/>
      <c r="BF115" s="1893"/>
      <c r="BG115" s="1893">
        <v>4000</v>
      </c>
      <c r="BH115" s="1893"/>
      <c r="BI115" s="1893"/>
      <c r="BJ115" s="16127">
        <v>45474</v>
      </c>
      <c r="BK115" s="15973" t="s">
        <v>66</v>
      </c>
      <c r="BL115" s="16127">
        <v>45657</v>
      </c>
      <c r="BM115" s="15973" t="s">
        <v>66</v>
      </c>
      <c r="BN115" s="1893">
        <v>50.66</v>
      </c>
      <c r="BO115" s="1893"/>
      <c r="BP115" s="1893"/>
      <c r="BQ115" s="1893"/>
      <c r="BR115" s="1893">
        <v>4000</v>
      </c>
      <c r="BS115" s="1893"/>
      <c r="BT115" s="1893"/>
      <c r="BU115" s="16127">
        <v>45658</v>
      </c>
      <c r="BV115" s="15973" t="s">
        <v>66</v>
      </c>
      <c r="BW115" s="16127">
        <v>45838</v>
      </c>
      <c r="BX115" s="15973" t="s">
        <v>66</v>
      </c>
      <c r="BY115" s="1893">
        <v>57.05</v>
      </c>
      <c r="BZ115" s="1893"/>
      <c r="CA115" s="1893"/>
      <c r="CB115" s="1893"/>
      <c r="CC115" s="1893">
        <v>4168</v>
      </c>
      <c r="CD115" s="1893"/>
      <c r="CE115" s="1893"/>
      <c r="CF115" s="16127">
        <v>45839</v>
      </c>
      <c r="CG115" s="15973" t="s">
        <v>66</v>
      </c>
      <c r="CH115" s="16127">
        <v>46022</v>
      </c>
      <c r="CI115" s="15973" t="s">
        <v>66</v>
      </c>
      <c r="CJ115" s="1893">
        <v>57.05</v>
      </c>
      <c r="CK115" s="1893"/>
      <c r="CL115" s="1893"/>
      <c r="CM115" s="1893"/>
      <c r="CN115" s="1893">
        <v>4168</v>
      </c>
      <c r="CO115" s="1893"/>
      <c r="CP115" s="1893"/>
      <c r="CQ115" s="16127">
        <v>46023</v>
      </c>
      <c r="CR115" s="15973" t="s">
        <v>66</v>
      </c>
      <c r="CS115" s="16127">
        <v>46203</v>
      </c>
      <c r="CT115" s="15973" t="s">
        <v>66</v>
      </c>
      <c r="CU115" s="1893">
        <v>63.5</v>
      </c>
      <c r="CV115" s="1893"/>
      <c r="CW115" s="1893"/>
      <c r="CX115" s="1893"/>
      <c r="CY115" s="1893">
        <v>4334.72</v>
      </c>
      <c r="CZ115" s="1893"/>
      <c r="DA115" s="1893"/>
      <c r="DB115" s="16127">
        <v>46204</v>
      </c>
      <c r="DC115" s="15973" t="s">
        <v>66</v>
      </c>
      <c r="DD115" s="16127">
        <v>46387</v>
      </c>
      <c r="DE115" s="15973" t="s">
        <v>66</v>
      </c>
      <c r="DF115" s="1893">
        <v>63.5</v>
      </c>
      <c r="DG115" s="1893"/>
      <c r="DH115" s="1893"/>
      <c r="DI115" s="1893"/>
      <c r="DJ115" s="1893">
        <v>4334.72</v>
      </c>
      <c r="DK115" s="1893"/>
      <c r="DL115" s="1893"/>
      <c r="DM115" s="16127">
        <v>46388</v>
      </c>
      <c r="DN115" s="15973" t="s">
        <v>66</v>
      </c>
      <c r="DO115" s="16127">
        <v>46568</v>
      </c>
      <c r="DP115" s="15973" t="s">
        <v>66</v>
      </c>
      <c r="DQ115" s="1893">
        <v>66.040000000000006</v>
      </c>
      <c r="DR115" s="1893"/>
      <c r="DS115" s="1893"/>
      <c r="DT115" s="1893"/>
      <c r="DU115" s="1893">
        <v>4508.1099999999997</v>
      </c>
      <c r="DV115" s="1893"/>
      <c r="DW115" s="1893"/>
      <c r="DX115" s="16127">
        <v>46569</v>
      </c>
      <c r="DY115" s="15973" t="s">
        <v>66</v>
      </c>
      <c r="DZ115" s="16127">
        <v>46752</v>
      </c>
      <c r="EA115" s="15973" t="s">
        <v>66</v>
      </c>
      <c r="EB115" s="1893">
        <v>66.040000000000006</v>
      </c>
      <c r="EC115" s="1893"/>
      <c r="ED115" s="1893"/>
      <c r="EE115" s="1893"/>
      <c r="EF115" s="1893">
        <v>4508.1099999999997</v>
      </c>
      <c r="EG115" s="1893"/>
      <c r="EH115" s="1893"/>
      <c r="EI115" s="16127">
        <v>46753</v>
      </c>
      <c r="EJ115" s="15973" t="s">
        <v>66</v>
      </c>
      <c r="EK115" s="16127">
        <v>46934</v>
      </c>
      <c r="EL115" s="15973" t="s">
        <v>66</v>
      </c>
      <c r="EM115" s="14448">
        <v>68.680000000000007</v>
      </c>
      <c r="EN115" s="14448"/>
      <c r="EO115" s="14448"/>
      <c r="EP115" s="14448"/>
      <c r="EQ115" s="14448">
        <v>4688.43</v>
      </c>
      <c r="ER115" s="14448"/>
      <c r="ES115" s="14448"/>
      <c r="ET115" s="16127">
        <v>46935</v>
      </c>
      <c r="EU115" s="15973" t="s">
        <v>66</v>
      </c>
      <c r="EV115" s="16127">
        <v>47118</v>
      </c>
      <c r="EW115" s="15973" t="s">
        <v>66</v>
      </c>
      <c r="EX115" s="2521"/>
      <c r="EY115"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15" s="2199" t="e">
        <f ca="1">STRCHECKDATE(V116:EX116)</f>
        <v>#NAME?</v>
      </c>
      <c r="FA115" s="2512"/>
      <c r="FB115" s="2512" t="str">
        <f t="shared" si="2"/>
        <v/>
      </c>
      <c r="FC115" s="2512"/>
      <c r="FD115" s="2512"/>
    </row>
    <row r="116" spans="1:160" s="14789" customFormat="1" ht="14.25" customHeight="1">
      <c r="A116" s="2502"/>
      <c r="B116" s="2502"/>
      <c r="C116" s="2502"/>
      <c r="D116" s="2502"/>
      <c r="E116" s="16125"/>
      <c r="F116" s="16125" t="s">
        <v>91</v>
      </c>
      <c r="G116" s="16125"/>
      <c r="H116" s="16125"/>
      <c r="I116" s="16145"/>
      <c r="J116" s="16145"/>
      <c r="K116" s="16122"/>
      <c r="L116" s="2503"/>
      <c r="M116" s="2513"/>
      <c r="N116" s="2513"/>
      <c r="O116" s="2513"/>
      <c r="P116" s="16123"/>
      <c r="Q116" s="16123"/>
      <c r="R116" s="2517"/>
      <c r="S116" s="2522"/>
      <c r="T116" s="2510"/>
      <c r="U116" s="2510"/>
      <c r="V116" s="1894"/>
      <c r="W116" s="1894"/>
      <c r="X116" s="1894"/>
      <c r="Y116" s="1894"/>
      <c r="Z116" s="1894"/>
      <c r="AA116" s="1894"/>
      <c r="AB116" s="1894"/>
      <c r="AC116" s="16128"/>
      <c r="AD116" s="15973"/>
      <c r="AE116" s="16128"/>
      <c r="AF116" s="15973"/>
      <c r="AG116" s="1894"/>
      <c r="AH116" s="1894"/>
      <c r="AI116" s="1894"/>
      <c r="AJ116" s="1894"/>
      <c r="AK116" s="1894"/>
      <c r="AL116" s="1894"/>
      <c r="AM116" s="1894"/>
      <c r="AN116" s="16128"/>
      <c r="AO116" s="15973"/>
      <c r="AP116" s="16147"/>
      <c r="AQ116" s="15973"/>
      <c r="AR116" s="1894"/>
      <c r="AS116" s="1894"/>
      <c r="AT116" s="1894"/>
      <c r="AU116" s="1894"/>
      <c r="AV116" s="1894"/>
      <c r="AW116" s="1894"/>
      <c r="AX116" s="1894"/>
      <c r="AY116" s="16128"/>
      <c r="AZ116" s="15973"/>
      <c r="BA116" s="16128"/>
      <c r="BB116" s="15973"/>
      <c r="BC116" s="1894"/>
      <c r="BD116" s="1894"/>
      <c r="BE116" s="1894"/>
      <c r="BF116" s="1894"/>
      <c r="BG116" s="1894"/>
      <c r="BH116" s="1894"/>
      <c r="BI116" s="1894"/>
      <c r="BJ116" s="16128"/>
      <c r="BK116" s="15973"/>
      <c r="BL116" s="16128"/>
      <c r="BM116" s="15973"/>
      <c r="BN116" s="1894"/>
      <c r="BO116" s="1894"/>
      <c r="BP116" s="1894"/>
      <c r="BQ116" s="1894"/>
      <c r="BR116" s="1894"/>
      <c r="BS116" s="1894"/>
      <c r="BT116" s="1894"/>
      <c r="BU116" s="16128"/>
      <c r="BV116" s="15973"/>
      <c r="BW116" s="16128"/>
      <c r="BX116" s="15973"/>
      <c r="BY116" s="1894"/>
      <c r="BZ116" s="1894"/>
      <c r="CA116" s="1894"/>
      <c r="CB116" s="1894"/>
      <c r="CC116" s="1894"/>
      <c r="CD116" s="1894"/>
      <c r="CE116" s="1894"/>
      <c r="CF116" s="16128"/>
      <c r="CG116" s="15973"/>
      <c r="CH116" s="16128"/>
      <c r="CI116" s="15973"/>
      <c r="CJ116" s="1894"/>
      <c r="CK116" s="1894"/>
      <c r="CL116" s="1894"/>
      <c r="CM116" s="1894"/>
      <c r="CN116" s="1894"/>
      <c r="CO116" s="1894"/>
      <c r="CP116" s="1894"/>
      <c r="CQ116" s="16128"/>
      <c r="CR116" s="15973"/>
      <c r="CS116" s="16128"/>
      <c r="CT116" s="15973"/>
      <c r="CU116" s="1894"/>
      <c r="CV116" s="1894"/>
      <c r="CW116" s="1894"/>
      <c r="CX116" s="1894"/>
      <c r="CY116" s="1894"/>
      <c r="CZ116" s="1894"/>
      <c r="DA116" s="1894"/>
      <c r="DB116" s="16128"/>
      <c r="DC116" s="15973"/>
      <c r="DD116" s="16128"/>
      <c r="DE116" s="15973"/>
      <c r="DF116" s="1894"/>
      <c r="DG116" s="1894"/>
      <c r="DH116" s="1894"/>
      <c r="DI116" s="1894"/>
      <c r="DJ116" s="1894"/>
      <c r="DK116" s="1894"/>
      <c r="DL116" s="1894"/>
      <c r="DM116" s="16128"/>
      <c r="DN116" s="15973"/>
      <c r="DO116" s="16128"/>
      <c r="DP116" s="15973"/>
      <c r="DQ116" s="1894"/>
      <c r="DR116" s="1894"/>
      <c r="DS116" s="1894"/>
      <c r="DT116" s="1894"/>
      <c r="DU116" s="1894"/>
      <c r="DV116" s="1894"/>
      <c r="DW116" s="1894"/>
      <c r="DX116" s="16128"/>
      <c r="DY116" s="15973"/>
      <c r="DZ116" s="16128"/>
      <c r="EA116" s="15973"/>
      <c r="EB116" s="1894"/>
      <c r="EC116" s="1894"/>
      <c r="ED116" s="1894"/>
      <c r="EE116" s="1894"/>
      <c r="EF116" s="1894"/>
      <c r="EG116" s="1894"/>
      <c r="EH116" s="1894"/>
      <c r="EI116" s="16128"/>
      <c r="EJ116" s="15973"/>
      <c r="EK116" s="16128"/>
      <c r="EL116" s="15973"/>
      <c r="EM116" s="14449"/>
      <c r="EN116" s="14449"/>
      <c r="EO116" s="14449"/>
      <c r="EP116" s="14449"/>
      <c r="EQ116" s="14449"/>
      <c r="ER116" s="14449"/>
      <c r="ES116" s="14449"/>
      <c r="ET116" s="16128"/>
      <c r="EU116" s="15973"/>
      <c r="EV116" s="16128"/>
      <c r="EW116" s="15973"/>
      <c r="EX116" s="2523"/>
      <c r="EY116" s="16182"/>
      <c r="EZ116" s="2199"/>
      <c r="FA116" s="2512"/>
      <c r="FB116" s="2512" t="str">
        <f t="shared" si="2"/>
        <v/>
      </c>
      <c r="FC116" s="2512"/>
      <c r="FD116" s="2512"/>
    </row>
    <row r="117" spans="1:160" s="14790" customFormat="1" ht="21" customHeight="1">
      <c r="A117" s="2502"/>
      <c r="B117" s="2502"/>
      <c r="C117" s="2502"/>
      <c r="D117" s="2502"/>
      <c r="E117" s="16125"/>
      <c r="F117" s="16125" t="s">
        <v>91</v>
      </c>
      <c r="G117" s="16125"/>
      <c r="H117" s="16125"/>
      <c r="I117" s="16145"/>
      <c r="J117" s="16122"/>
      <c r="K117" s="2502"/>
      <c r="L117" s="2503"/>
      <c r="M117" s="2513"/>
      <c r="N117" s="2513"/>
      <c r="O117" s="2513"/>
      <c r="P117" s="16123"/>
      <c r="Q117" s="16123"/>
      <c r="R117" s="2515"/>
      <c r="S117" s="4798"/>
      <c r="T117" s="4799" t="s">
        <v>621</v>
      </c>
      <c r="U117" s="4800"/>
      <c r="V117" s="4801"/>
      <c r="W117" s="4802"/>
      <c r="X117" s="4803"/>
      <c r="Y117" s="4804"/>
      <c r="Z117" s="4805"/>
      <c r="AA117" s="4806"/>
      <c r="AB117" s="4807"/>
      <c r="AC117" s="4808"/>
      <c r="AD117" s="4809"/>
      <c r="AE117" s="4810"/>
      <c r="AF117" s="4811"/>
      <c r="AG117" s="4812"/>
      <c r="AH117" s="4813"/>
      <c r="AI117" s="4814"/>
      <c r="AJ117" s="4815"/>
      <c r="AK117" s="4816"/>
      <c r="AL117" s="4817"/>
      <c r="AM117" s="4818"/>
      <c r="AN117" s="4819"/>
      <c r="AO117" s="4820"/>
      <c r="AP117" s="4821"/>
      <c r="AQ117" s="4822"/>
      <c r="AR117" s="4823"/>
      <c r="AS117" s="4824"/>
      <c r="AT117" s="4825"/>
      <c r="AU117" s="4826"/>
      <c r="AV117" s="4827"/>
      <c r="AW117" s="4828"/>
      <c r="AX117" s="4829"/>
      <c r="AY117" s="4830"/>
      <c r="AZ117" s="4831"/>
      <c r="BA117" s="4832"/>
      <c r="BB117" s="4833"/>
      <c r="BC117" s="4834"/>
      <c r="BD117" s="4835"/>
      <c r="BE117" s="4836"/>
      <c r="BF117" s="4837"/>
      <c r="BG117" s="4838"/>
      <c r="BH117" s="4839"/>
      <c r="BI117" s="4840"/>
      <c r="BJ117" s="4841"/>
      <c r="BK117" s="4842"/>
      <c r="BL117" s="4843"/>
      <c r="BM117" s="4844"/>
      <c r="BN117" s="4845"/>
      <c r="BO117" s="4846"/>
      <c r="BP117" s="4847"/>
      <c r="BQ117" s="4848"/>
      <c r="BR117" s="4849"/>
      <c r="BS117" s="4850"/>
      <c r="BT117" s="4851"/>
      <c r="BU117" s="4852"/>
      <c r="BV117" s="4853"/>
      <c r="BW117" s="4854"/>
      <c r="BX117" s="4855"/>
      <c r="BY117" s="4856"/>
      <c r="BZ117" s="4857"/>
      <c r="CA117" s="4858"/>
      <c r="CB117" s="4859"/>
      <c r="CC117" s="4860"/>
      <c r="CD117" s="4861"/>
      <c r="CE117" s="4862"/>
      <c r="CF117" s="4863"/>
      <c r="CG117" s="4864"/>
      <c r="CH117" s="4865"/>
      <c r="CI117" s="4866"/>
      <c r="CJ117" s="4867"/>
      <c r="CK117" s="4868"/>
      <c r="CL117" s="4869"/>
      <c r="CM117" s="4870"/>
      <c r="CN117" s="4871"/>
      <c r="CO117" s="4872"/>
      <c r="CP117" s="4873"/>
      <c r="CQ117" s="4874"/>
      <c r="CR117" s="4875"/>
      <c r="CS117" s="4876"/>
      <c r="CT117" s="4877"/>
      <c r="CU117" s="4878"/>
      <c r="CV117" s="4879"/>
      <c r="CW117" s="4880"/>
      <c r="CX117" s="4881"/>
      <c r="CY117" s="4882"/>
      <c r="CZ117" s="4883"/>
      <c r="DA117" s="4884"/>
      <c r="DB117" s="4885"/>
      <c r="DC117" s="4886"/>
      <c r="DD117" s="4887"/>
      <c r="DE117" s="4888"/>
      <c r="DF117" s="4889"/>
      <c r="DG117" s="4890"/>
      <c r="DH117" s="4891"/>
      <c r="DI117" s="4892"/>
      <c r="DJ117" s="4893"/>
      <c r="DK117" s="4894"/>
      <c r="DL117" s="4895"/>
      <c r="DM117" s="4896"/>
      <c r="DN117" s="4897"/>
      <c r="DO117" s="4898"/>
      <c r="DP117" s="4899"/>
      <c r="DQ117" s="4900"/>
      <c r="DR117" s="4901"/>
      <c r="DS117" s="4902"/>
      <c r="DT117" s="4903"/>
      <c r="DU117" s="4904"/>
      <c r="DV117" s="4905"/>
      <c r="DW117" s="4906"/>
      <c r="DX117" s="4907"/>
      <c r="DY117" s="4908"/>
      <c r="DZ117" s="4909"/>
      <c r="EA117" s="4910"/>
      <c r="EB117" s="4911"/>
      <c r="EC117" s="4912"/>
      <c r="ED117" s="4913"/>
      <c r="EE117" s="4914"/>
      <c r="EF117" s="4915"/>
      <c r="EG117" s="4916"/>
      <c r="EH117" s="4917"/>
      <c r="EI117" s="4918"/>
      <c r="EJ117" s="4919"/>
      <c r="EK117" s="4920"/>
      <c r="EL117" s="4921"/>
      <c r="EM117" s="14791"/>
      <c r="EN117" s="14792"/>
      <c r="EO117" s="14793"/>
      <c r="EP117" s="14794"/>
      <c r="EQ117" s="14795"/>
      <c r="ER117" s="14796"/>
      <c r="ES117" s="14797"/>
      <c r="ET117" s="14798"/>
      <c r="EU117" s="14799"/>
      <c r="EV117" s="14800"/>
      <c r="EW117" s="14801"/>
      <c r="EX117" s="4922"/>
      <c r="EY117" s="2511" t="s">
        <v>622</v>
      </c>
      <c r="EZ117" s="2199"/>
      <c r="FA117" s="2512"/>
      <c r="FB117" s="2512" t="str">
        <f t="shared" si="2"/>
        <v>Добавить значение признака дифференциации</v>
      </c>
      <c r="FC117" s="2512"/>
      <c r="FD117" s="2512"/>
    </row>
    <row r="118" spans="1:160" s="14802" customFormat="1" ht="21" customHeight="1">
      <c r="A118" s="2502"/>
      <c r="B118" s="2502"/>
      <c r="C118" s="2502"/>
      <c r="D118" s="2502"/>
      <c r="E118" s="16125"/>
      <c r="F118" s="16125" t="s">
        <v>91</v>
      </c>
      <c r="G118" s="16125"/>
      <c r="H118" s="16125"/>
      <c r="I118" s="16122"/>
      <c r="J118" s="2502"/>
      <c r="K118" s="2502"/>
      <c r="L118" s="2503"/>
      <c r="M118" s="2513"/>
      <c r="N118" s="2513"/>
      <c r="O118" s="2513"/>
      <c r="P118" s="16123"/>
      <c r="Q118" s="2514"/>
      <c r="R118" s="2515"/>
      <c r="S118" s="4923"/>
      <c r="T118" s="4924" t="s">
        <v>549</v>
      </c>
      <c r="U118" s="4925"/>
      <c r="V118" s="4926"/>
      <c r="W118" s="4927"/>
      <c r="X118" s="4928"/>
      <c r="Y118" s="4929"/>
      <c r="Z118" s="4930"/>
      <c r="AA118" s="4931"/>
      <c r="AB118" s="4932"/>
      <c r="AC118" s="4933"/>
      <c r="AD118" s="4934"/>
      <c r="AE118" s="4935"/>
      <c r="AF118" s="4936"/>
      <c r="AG118" s="4937"/>
      <c r="AH118" s="4938"/>
      <c r="AI118" s="4939"/>
      <c r="AJ118" s="4940"/>
      <c r="AK118" s="4941"/>
      <c r="AL118" s="4942"/>
      <c r="AM118" s="4943"/>
      <c r="AN118" s="4944"/>
      <c r="AO118" s="4945"/>
      <c r="AP118" s="4946"/>
      <c r="AQ118" s="4947"/>
      <c r="AR118" s="4948"/>
      <c r="AS118" s="4949"/>
      <c r="AT118" s="4950"/>
      <c r="AU118" s="4951"/>
      <c r="AV118" s="4952"/>
      <c r="AW118" s="4953"/>
      <c r="AX118" s="4954"/>
      <c r="AY118" s="4955"/>
      <c r="AZ118" s="4956"/>
      <c r="BA118" s="4957"/>
      <c r="BB118" s="4958"/>
      <c r="BC118" s="4959"/>
      <c r="BD118" s="4960"/>
      <c r="BE118" s="4961"/>
      <c r="BF118" s="4962"/>
      <c r="BG118" s="4963"/>
      <c r="BH118" s="4964"/>
      <c r="BI118" s="4965"/>
      <c r="BJ118" s="4966"/>
      <c r="BK118" s="4967"/>
      <c r="BL118" s="4968"/>
      <c r="BM118" s="4969"/>
      <c r="BN118" s="4970"/>
      <c r="BO118" s="4971"/>
      <c r="BP118" s="4972"/>
      <c r="BQ118" s="4973"/>
      <c r="BR118" s="4974"/>
      <c r="BS118" s="4975"/>
      <c r="BT118" s="4976"/>
      <c r="BU118" s="4977"/>
      <c r="BV118" s="4978"/>
      <c r="BW118" s="4979"/>
      <c r="BX118" s="4980"/>
      <c r="BY118" s="4981"/>
      <c r="BZ118" s="4982"/>
      <c r="CA118" s="4983"/>
      <c r="CB118" s="4984"/>
      <c r="CC118" s="4985"/>
      <c r="CD118" s="4986"/>
      <c r="CE118" s="4987"/>
      <c r="CF118" s="4988"/>
      <c r="CG118" s="4989"/>
      <c r="CH118" s="4990"/>
      <c r="CI118" s="4991"/>
      <c r="CJ118" s="4992"/>
      <c r="CK118" s="4993"/>
      <c r="CL118" s="4994"/>
      <c r="CM118" s="4995"/>
      <c r="CN118" s="4996"/>
      <c r="CO118" s="4997"/>
      <c r="CP118" s="4998"/>
      <c r="CQ118" s="4999"/>
      <c r="CR118" s="5000"/>
      <c r="CS118" s="5001"/>
      <c r="CT118" s="5002"/>
      <c r="CU118" s="5003"/>
      <c r="CV118" s="5004"/>
      <c r="CW118" s="5005"/>
      <c r="CX118" s="5006"/>
      <c r="CY118" s="5007"/>
      <c r="CZ118" s="5008"/>
      <c r="DA118" s="5009"/>
      <c r="DB118" s="5010"/>
      <c r="DC118" s="5011"/>
      <c r="DD118" s="5012"/>
      <c r="DE118" s="5013"/>
      <c r="DF118" s="5014"/>
      <c r="DG118" s="5015"/>
      <c r="DH118" s="5016"/>
      <c r="DI118" s="5017"/>
      <c r="DJ118" s="5018"/>
      <c r="DK118" s="5019"/>
      <c r="DL118" s="5020"/>
      <c r="DM118" s="5021"/>
      <c r="DN118" s="5022"/>
      <c r="DO118" s="5023"/>
      <c r="DP118" s="5024"/>
      <c r="DQ118" s="5025"/>
      <c r="DR118" s="5026"/>
      <c r="DS118" s="5027"/>
      <c r="DT118" s="5028"/>
      <c r="DU118" s="5029"/>
      <c r="DV118" s="5030"/>
      <c r="DW118" s="5031"/>
      <c r="DX118" s="5032"/>
      <c r="DY118" s="5033"/>
      <c r="DZ118" s="5034"/>
      <c r="EA118" s="5035"/>
      <c r="EB118" s="5036"/>
      <c r="EC118" s="5037"/>
      <c r="ED118" s="5038"/>
      <c r="EE118" s="5039"/>
      <c r="EF118" s="5040"/>
      <c r="EG118" s="5041"/>
      <c r="EH118" s="5042"/>
      <c r="EI118" s="5043"/>
      <c r="EJ118" s="5044"/>
      <c r="EK118" s="5045"/>
      <c r="EL118" s="5046"/>
      <c r="EM118" s="14803"/>
      <c r="EN118" s="14804"/>
      <c r="EO118" s="14805"/>
      <c r="EP118" s="14806"/>
      <c r="EQ118" s="14807"/>
      <c r="ER118" s="14808"/>
      <c r="ES118" s="14809"/>
      <c r="ET118" s="14810"/>
      <c r="EU118" s="14811"/>
      <c r="EV118" s="14812"/>
      <c r="EW118" s="14813"/>
      <c r="EX118" s="5047"/>
      <c r="EY118" s="5048"/>
      <c r="EZ118" s="2199"/>
      <c r="FA118" s="2512"/>
      <c r="FB118" s="2512" t="str">
        <f t="shared" si="2"/>
        <v>Добавить группу потребителей</v>
      </c>
      <c r="FC118" s="2512"/>
      <c r="FD118" s="2512"/>
    </row>
    <row r="119" spans="1:160" s="14814" customFormat="1" ht="21" customHeight="1">
      <c r="A119" s="2502"/>
      <c r="B119" s="2502"/>
      <c r="C119" s="2502"/>
      <c r="D119" s="2502"/>
      <c r="E119" s="16125"/>
      <c r="F119" s="16125" t="s">
        <v>91</v>
      </c>
      <c r="G119" s="16125"/>
      <c r="H119" s="16124"/>
      <c r="I119" s="2502"/>
      <c r="J119" s="2502"/>
      <c r="K119" s="2502"/>
      <c r="L119" s="2503"/>
      <c r="M119" s="2504"/>
      <c r="N119" s="2504"/>
      <c r="O119" s="2193"/>
      <c r="P119" s="2775"/>
      <c r="Q119" s="2776"/>
      <c r="R119" s="2777"/>
      <c r="S119" s="5049"/>
      <c r="T119" s="5050" t="s">
        <v>623</v>
      </c>
      <c r="U119" s="5051"/>
      <c r="V119" s="5052"/>
      <c r="W119" s="5053"/>
      <c r="X119" s="5054"/>
      <c r="Y119" s="5055"/>
      <c r="Z119" s="5056"/>
      <c r="AA119" s="5057"/>
      <c r="AB119" s="5058"/>
      <c r="AC119" s="5059"/>
      <c r="AD119" s="5060"/>
      <c r="AE119" s="5061"/>
      <c r="AF119" s="5062"/>
      <c r="AG119" s="5063"/>
      <c r="AH119" s="5064"/>
      <c r="AI119" s="5065"/>
      <c r="AJ119" s="5066"/>
      <c r="AK119" s="5067"/>
      <c r="AL119" s="5068"/>
      <c r="AM119" s="5069"/>
      <c r="AN119" s="5070"/>
      <c r="AO119" s="5071"/>
      <c r="AP119" s="5072"/>
      <c r="AQ119" s="5073"/>
      <c r="AR119" s="5074"/>
      <c r="AS119" s="5075"/>
      <c r="AT119" s="5076"/>
      <c r="AU119" s="5077"/>
      <c r="AV119" s="5078"/>
      <c r="AW119" s="5079"/>
      <c r="AX119" s="5080"/>
      <c r="AY119" s="5081"/>
      <c r="AZ119" s="5082"/>
      <c r="BA119" s="5083"/>
      <c r="BB119" s="5084"/>
      <c r="BC119" s="5085"/>
      <c r="BD119" s="5086"/>
      <c r="BE119" s="5087"/>
      <c r="BF119" s="5088"/>
      <c r="BG119" s="5089"/>
      <c r="BH119" s="5090"/>
      <c r="BI119" s="5091"/>
      <c r="BJ119" s="5092"/>
      <c r="BK119" s="5093"/>
      <c r="BL119" s="5094"/>
      <c r="BM119" s="5095"/>
      <c r="BN119" s="5096"/>
      <c r="BO119" s="5097"/>
      <c r="BP119" s="5098"/>
      <c r="BQ119" s="5099"/>
      <c r="BR119" s="5100"/>
      <c r="BS119" s="5101"/>
      <c r="BT119" s="5102"/>
      <c r="BU119" s="5103"/>
      <c r="BV119" s="5104"/>
      <c r="BW119" s="5105"/>
      <c r="BX119" s="5106"/>
      <c r="BY119" s="5107"/>
      <c r="BZ119" s="5108"/>
      <c r="CA119" s="5109"/>
      <c r="CB119" s="5110"/>
      <c r="CC119" s="5111"/>
      <c r="CD119" s="5112"/>
      <c r="CE119" s="5113"/>
      <c r="CF119" s="5114"/>
      <c r="CG119" s="5115"/>
      <c r="CH119" s="5116"/>
      <c r="CI119" s="5117"/>
      <c r="CJ119" s="5118"/>
      <c r="CK119" s="5119"/>
      <c r="CL119" s="5120"/>
      <c r="CM119" s="5121"/>
      <c r="CN119" s="5122"/>
      <c r="CO119" s="5123"/>
      <c r="CP119" s="5124"/>
      <c r="CQ119" s="5125"/>
      <c r="CR119" s="5126"/>
      <c r="CS119" s="5127"/>
      <c r="CT119" s="5128"/>
      <c r="CU119" s="5129"/>
      <c r="CV119" s="5130"/>
      <c r="CW119" s="5131"/>
      <c r="CX119" s="5132"/>
      <c r="CY119" s="5133"/>
      <c r="CZ119" s="5134"/>
      <c r="DA119" s="5135"/>
      <c r="DB119" s="5136"/>
      <c r="DC119" s="5137"/>
      <c r="DD119" s="5138"/>
      <c r="DE119" s="5139"/>
      <c r="DF119" s="5140"/>
      <c r="DG119" s="5141"/>
      <c r="DH119" s="5142"/>
      <c r="DI119" s="5143"/>
      <c r="DJ119" s="5144"/>
      <c r="DK119" s="5145"/>
      <c r="DL119" s="5146"/>
      <c r="DM119" s="5147"/>
      <c r="DN119" s="5148"/>
      <c r="DO119" s="5149"/>
      <c r="DP119" s="5150"/>
      <c r="DQ119" s="5151"/>
      <c r="DR119" s="5152"/>
      <c r="DS119" s="5153"/>
      <c r="DT119" s="5154"/>
      <c r="DU119" s="5155"/>
      <c r="DV119" s="5156"/>
      <c r="DW119" s="5157"/>
      <c r="DX119" s="5158"/>
      <c r="DY119" s="5159"/>
      <c r="DZ119" s="5160"/>
      <c r="EA119" s="5161"/>
      <c r="EB119" s="5162"/>
      <c r="EC119" s="5163"/>
      <c r="ED119" s="5164"/>
      <c r="EE119" s="5165"/>
      <c r="EF119" s="5166"/>
      <c r="EG119" s="5167"/>
      <c r="EH119" s="5168"/>
      <c r="EI119" s="5169"/>
      <c r="EJ119" s="5170"/>
      <c r="EK119" s="5171"/>
      <c r="EL119" s="5172"/>
      <c r="EM119" s="14815"/>
      <c r="EN119" s="14816"/>
      <c r="EO119" s="14817"/>
      <c r="EP119" s="14818"/>
      <c r="EQ119" s="14819"/>
      <c r="ER119" s="14820"/>
      <c r="ES119" s="14821"/>
      <c r="ET119" s="14822"/>
      <c r="EU119" s="14823"/>
      <c r="EV119" s="14824"/>
      <c r="EW119" s="14825"/>
      <c r="EX119" s="5173"/>
      <c r="EY119" s="5174"/>
      <c r="EZ119" s="2199"/>
      <c r="FA119" s="2512"/>
      <c r="FB119" s="2512" t="str">
        <f t="shared" si="2"/>
        <v>Добавить наименование признака дифференциации</v>
      </c>
      <c r="FC119" s="2512"/>
      <c r="FD119" s="2512"/>
    </row>
    <row r="120" spans="1:160" s="14826" customFormat="1" ht="14.25" customHeight="1">
      <c r="A120" s="3283"/>
      <c r="B120" s="3283"/>
      <c r="C120" s="3283"/>
      <c r="D120" s="3283"/>
      <c r="E120" s="16125"/>
      <c r="F120" s="16124" t="s">
        <v>91</v>
      </c>
      <c r="G120" s="3283"/>
      <c r="H120" s="3283"/>
      <c r="I120" s="3283"/>
      <c r="J120" s="3283"/>
      <c r="K120" s="3283"/>
      <c r="L120" s="3284"/>
      <c r="M120" s="3285"/>
      <c r="N120" s="3285"/>
      <c r="O120" s="2199"/>
      <c r="P120" s="3286"/>
      <c r="Q120" s="3287"/>
      <c r="R120" s="3286"/>
      <c r="S120" s="3288"/>
      <c r="T120" s="3289" t="s">
        <v>290</v>
      </c>
      <c r="U120" s="2192"/>
      <c r="V120" s="2192"/>
      <c r="W120" s="2192"/>
      <c r="X120" s="2192"/>
      <c r="Y120" s="2192"/>
      <c r="Z120" s="2192"/>
      <c r="AA120" s="2192"/>
      <c r="AB120" s="2192"/>
      <c r="AC120" s="2192"/>
      <c r="AD120" s="2192"/>
      <c r="AE120" s="2192"/>
      <c r="AF120" s="2192"/>
      <c r="AG120" s="2192"/>
      <c r="AH120" s="2192"/>
      <c r="AI120" s="2192"/>
      <c r="AJ120" s="2192"/>
      <c r="AK120" s="2192"/>
      <c r="AL120" s="2192"/>
      <c r="AM120" s="2192"/>
      <c r="AN120" s="2192"/>
      <c r="AO120" s="2192"/>
      <c r="AP120" s="2192"/>
      <c r="AQ120" s="2192"/>
      <c r="AR120" s="2192"/>
      <c r="AS120" s="2192"/>
      <c r="AT120" s="2192"/>
      <c r="AU120" s="2192"/>
      <c r="AV120" s="2192"/>
      <c r="AW120" s="2192"/>
      <c r="AX120" s="2192"/>
      <c r="AY120" s="2192"/>
      <c r="AZ120" s="2192"/>
      <c r="BA120" s="2192"/>
      <c r="BB120" s="2192"/>
      <c r="BC120" s="2192"/>
      <c r="BD120" s="2192"/>
      <c r="BE120" s="2192"/>
      <c r="BF120" s="2192"/>
      <c r="BG120" s="2192"/>
      <c r="BH120" s="2192"/>
      <c r="BI120" s="2192"/>
      <c r="BJ120" s="2192"/>
      <c r="BK120" s="2192"/>
      <c r="BL120" s="2192"/>
      <c r="BM120" s="2192"/>
      <c r="BN120" s="2192"/>
      <c r="BO120" s="2192"/>
      <c r="BP120" s="2192"/>
      <c r="BQ120" s="2192"/>
      <c r="BR120" s="2192"/>
      <c r="BS120" s="2192"/>
      <c r="BT120" s="2192"/>
      <c r="BU120" s="2192"/>
      <c r="BV120" s="2192"/>
      <c r="BW120" s="2192"/>
      <c r="BX120" s="2192"/>
      <c r="BY120" s="2192"/>
      <c r="BZ120" s="2192"/>
      <c r="CA120" s="2192"/>
      <c r="CB120" s="2192"/>
      <c r="CC120" s="2192"/>
      <c r="CD120" s="2192"/>
      <c r="CE120" s="2192"/>
      <c r="CF120" s="2192"/>
      <c r="CG120" s="2192"/>
      <c r="CH120" s="2192"/>
      <c r="CI120" s="2192"/>
      <c r="CJ120" s="2192"/>
      <c r="CK120" s="2192"/>
      <c r="CL120" s="2192"/>
      <c r="CM120" s="2192"/>
      <c r="CN120" s="2192"/>
      <c r="CO120" s="2192"/>
      <c r="CP120" s="2192"/>
      <c r="CQ120" s="2192"/>
      <c r="CR120" s="2192"/>
      <c r="CS120" s="2192"/>
      <c r="CT120" s="2192"/>
      <c r="CU120" s="2192"/>
      <c r="CV120" s="2192"/>
      <c r="CW120" s="2192"/>
      <c r="CX120" s="2192"/>
      <c r="CY120" s="2192"/>
      <c r="CZ120" s="2192"/>
      <c r="DA120" s="2192"/>
      <c r="DB120" s="2192"/>
      <c r="DC120" s="2192"/>
      <c r="DD120" s="2192"/>
      <c r="DE120" s="2192"/>
      <c r="DF120" s="2192"/>
      <c r="DG120" s="2192"/>
      <c r="DH120" s="2192"/>
      <c r="DI120" s="2192"/>
      <c r="DJ120" s="2192"/>
      <c r="DK120" s="2192"/>
      <c r="DL120" s="2192"/>
      <c r="DM120" s="2192"/>
      <c r="DN120" s="2192"/>
      <c r="DO120" s="2192"/>
      <c r="DP120" s="2192"/>
      <c r="DQ120" s="2192"/>
      <c r="DR120" s="2192"/>
      <c r="DS120" s="2192"/>
      <c r="DT120" s="2192"/>
      <c r="DU120" s="2192"/>
      <c r="DV120" s="2192"/>
      <c r="DW120" s="2192"/>
      <c r="DX120" s="2192"/>
      <c r="DY120" s="2192"/>
      <c r="DZ120" s="2192"/>
      <c r="EA120" s="2192"/>
      <c r="EB120" s="2192"/>
      <c r="EC120" s="2192"/>
      <c r="ED120" s="2192"/>
      <c r="EE120" s="2192"/>
      <c r="EF120" s="2192"/>
      <c r="EG120" s="2192"/>
      <c r="EH120" s="2192"/>
      <c r="EI120" s="2192"/>
      <c r="EJ120" s="2192"/>
      <c r="EK120" s="2192"/>
      <c r="EL120" s="2192"/>
      <c r="EM120" s="14483"/>
      <c r="EN120" s="14483"/>
      <c r="EO120" s="14483"/>
      <c r="EP120" s="14483"/>
      <c r="EQ120" s="14483"/>
      <c r="ER120" s="14483"/>
      <c r="ES120" s="14483"/>
      <c r="ET120" s="14483"/>
      <c r="EU120" s="14483"/>
      <c r="EV120" s="14483"/>
      <c r="EW120" s="14483"/>
      <c r="EX120" s="2192"/>
      <c r="EY120" s="2192"/>
      <c r="EZ120" s="2199"/>
      <c r="FA120" s="2512"/>
      <c r="FB120" s="2512" t="str">
        <f t="shared" si="2"/>
        <v>Добавить централизованную систему для дифференциации</v>
      </c>
      <c r="FC120" s="2512"/>
      <c r="FD120" s="2512"/>
    </row>
    <row r="121" spans="1:160" s="14827" customFormat="1" ht="23.25" customHeight="1">
      <c r="A121" s="2502"/>
      <c r="B121" s="2502" t="s">
        <v>313</v>
      </c>
      <c r="C121" s="2502"/>
      <c r="D121" s="2502"/>
      <c r="E121" s="16125"/>
      <c r="F121" s="16124" t="s">
        <v>132</v>
      </c>
      <c r="G121" s="2502"/>
      <c r="H121" s="2502"/>
      <c r="I121" s="2502"/>
      <c r="J121" s="2502"/>
      <c r="K121" s="2502"/>
      <c r="L121" s="2503"/>
      <c r="M121" s="2504"/>
      <c r="N121" s="2504"/>
      <c r="O121" s="2504"/>
      <c r="P121" s="2904"/>
      <c r="Q121" s="2506"/>
      <c r="R121" s="2507"/>
      <c r="S121" s="2508" t="str">
        <f>INDEX(PT_DIFFERENTIATION_NUM_TER,MATCH(B121,PT_DIFFERENTIATION_TER_ID,0))</f>
        <v>1.8</v>
      </c>
      <c r="T121" s="2905" t="s">
        <v>534</v>
      </c>
      <c r="U121" s="2510"/>
      <c r="V121" s="16110"/>
      <c r="W121" s="16111"/>
      <c r="X121" s="16111"/>
      <c r="Y121" s="16111"/>
      <c r="Z121" s="16111"/>
      <c r="AA121" s="16111"/>
      <c r="AB121" s="16111"/>
      <c r="AC121" s="16111"/>
      <c r="AD121" s="16111"/>
      <c r="AE121" s="16111"/>
      <c r="AF121" s="16112"/>
      <c r="AG121" s="16110" t="str">
        <f>INDEX(PT_DIFFERENTIATION_TER,MATCH(B121,PT_DIFFERENTIATION_TER_ID,0))</f>
        <v>Территория 8</v>
      </c>
      <c r="AH121" s="16111"/>
      <c r="AI121" s="16111"/>
      <c r="AJ121" s="16111"/>
      <c r="AK121" s="16111"/>
      <c r="AL121" s="16111"/>
      <c r="AM121" s="16111"/>
      <c r="AN121" s="16111"/>
      <c r="AO121" s="16111"/>
      <c r="AP121" s="16111"/>
      <c r="AQ121" s="16111"/>
      <c r="AR121" s="16110"/>
      <c r="AS121" s="16111"/>
      <c r="AT121" s="16111"/>
      <c r="AU121" s="16111"/>
      <c r="AV121" s="16111"/>
      <c r="AW121" s="16111"/>
      <c r="AX121" s="16111"/>
      <c r="AY121" s="16111"/>
      <c r="AZ121" s="16111"/>
      <c r="BA121" s="16111"/>
      <c r="BB121" s="16112"/>
      <c r="BC121" s="16110"/>
      <c r="BD121" s="16111"/>
      <c r="BE121" s="16111"/>
      <c r="BF121" s="16111"/>
      <c r="BG121" s="16111"/>
      <c r="BH121" s="16111"/>
      <c r="BI121" s="16111"/>
      <c r="BJ121" s="16111"/>
      <c r="BK121" s="16111"/>
      <c r="BL121" s="16111"/>
      <c r="BM121" s="16112"/>
      <c r="BN121" s="16110"/>
      <c r="BO121" s="16111"/>
      <c r="BP121" s="16111"/>
      <c r="BQ121" s="16111"/>
      <c r="BR121" s="16111"/>
      <c r="BS121" s="16111"/>
      <c r="BT121" s="16111"/>
      <c r="BU121" s="16111"/>
      <c r="BV121" s="16111"/>
      <c r="BW121" s="16111"/>
      <c r="BX121" s="16112"/>
      <c r="BY121" s="16110"/>
      <c r="BZ121" s="16111"/>
      <c r="CA121" s="16111"/>
      <c r="CB121" s="16111"/>
      <c r="CC121" s="16111"/>
      <c r="CD121" s="16111"/>
      <c r="CE121" s="16111"/>
      <c r="CF121" s="16111"/>
      <c r="CG121" s="16111"/>
      <c r="CH121" s="16111"/>
      <c r="CI121" s="16112"/>
      <c r="CJ121" s="16110"/>
      <c r="CK121" s="16111"/>
      <c r="CL121" s="16111"/>
      <c r="CM121" s="16111"/>
      <c r="CN121" s="16111"/>
      <c r="CO121" s="16111"/>
      <c r="CP121" s="16111"/>
      <c r="CQ121" s="16111"/>
      <c r="CR121" s="16111"/>
      <c r="CS121" s="16111"/>
      <c r="CT121" s="16112"/>
      <c r="CU121" s="16110"/>
      <c r="CV121" s="16111"/>
      <c r="CW121" s="16111"/>
      <c r="CX121" s="16111"/>
      <c r="CY121" s="16111"/>
      <c r="CZ121" s="16111"/>
      <c r="DA121" s="16111"/>
      <c r="DB121" s="16111"/>
      <c r="DC121" s="16111"/>
      <c r="DD121" s="16111"/>
      <c r="DE121" s="16112"/>
      <c r="DF121" s="16110"/>
      <c r="DG121" s="16111"/>
      <c r="DH121" s="16111"/>
      <c r="DI121" s="16111"/>
      <c r="DJ121" s="16111"/>
      <c r="DK121" s="16111"/>
      <c r="DL121" s="16111"/>
      <c r="DM121" s="16111"/>
      <c r="DN121" s="16111"/>
      <c r="DO121" s="16111"/>
      <c r="DP121" s="16112"/>
      <c r="DQ121" s="16110"/>
      <c r="DR121" s="16111"/>
      <c r="DS121" s="16111"/>
      <c r="DT121" s="16111"/>
      <c r="DU121" s="16111"/>
      <c r="DV121" s="16111"/>
      <c r="DW121" s="16111"/>
      <c r="DX121" s="16111"/>
      <c r="DY121" s="16111"/>
      <c r="DZ121" s="16111"/>
      <c r="EA121" s="16112"/>
      <c r="EB121" s="16110"/>
      <c r="EC121" s="16111"/>
      <c r="ED121" s="16111"/>
      <c r="EE121" s="16111"/>
      <c r="EF121" s="16111"/>
      <c r="EG121" s="16111"/>
      <c r="EH121" s="16111"/>
      <c r="EI121" s="16111"/>
      <c r="EJ121" s="16111"/>
      <c r="EK121" s="16111"/>
      <c r="EL121" s="16112"/>
      <c r="EM121" s="16110"/>
      <c r="EN121" s="16111"/>
      <c r="EO121" s="16111"/>
      <c r="EP121" s="16111"/>
      <c r="EQ121" s="16111"/>
      <c r="ER121" s="16111"/>
      <c r="ES121" s="16111"/>
      <c r="ET121" s="16111"/>
      <c r="EU121" s="16111"/>
      <c r="EV121" s="16111"/>
      <c r="EW121" s="16112"/>
      <c r="EX121" s="16112"/>
      <c r="EY121" s="2511" t="s">
        <v>535</v>
      </c>
      <c r="EZ121" s="2199"/>
      <c r="FA121" s="2512"/>
      <c r="FB121" s="2512" t="str">
        <f t="shared" si="2"/>
        <v>Территория действия тарифа</v>
      </c>
      <c r="FC121" s="2512"/>
      <c r="FD121" s="2512"/>
    </row>
    <row r="122" spans="1:160" s="14828" customFormat="1" ht="23.25" customHeight="1">
      <c r="A122" s="2502"/>
      <c r="B122" s="2502"/>
      <c r="C122" s="2502" t="s">
        <v>314</v>
      </c>
      <c r="D122" s="2502"/>
      <c r="E122" s="16125"/>
      <c r="F122" s="16125" t="s">
        <v>92</v>
      </c>
      <c r="G122" s="16124">
        <v>1</v>
      </c>
      <c r="H122" s="2502"/>
      <c r="I122" s="2502"/>
      <c r="J122" s="2502"/>
      <c r="K122" s="2502"/>
      <c r="L122" s="2503"/>
      <c r="M122" s="2504"/>
      <c r="N122" s="2504"/>
      <c r="O122" s="2504"/>
      <c r="P122" s="2505"/>
      <c r="Q122" s="2506"/>
      <c r="R122" s="2507"/>
      <c r="S122" s="2508" t="str">
        <f>INDEX(PT_DIFFERENTIATION_NUM_CS,MATCH(C122,PT_DIFFERENTIATION_CS_ID,0))</f>
        <v>1.8.1</v>
      </c>
      <c r="T122" s="2509" t="s">
        <v>665</v>
      </c>
      <c r="U122" s="2510"/>
      <c r="V122" s="16110"/>
      <c r="W122" s="16111"/>
      <c r="X122" s="16111"/>
      <c r="Y122" s="16111"/>
      <c r="Z122" s="16111"/>
      <c r="AA122" s="16111"/>
      <c r="AB122" s="16111"/>
      <c r="AC122" s="16111"/>
      <c r="AD122" s="16111"/>
      <c r="AE122" s="16111"/>
      <c r="AF122" s="16112"/>
      <c r="AG122" s="16110" t="str">
        <f>INDEX(PT_DIFFERENTIATION_CS,MATCH(C122,PT_DIFFERENTIATION_CS_ID,0))</f>
        <v>Городской округ закрытое административно-территориальное образование город Североморск Мурманской области (кроме ул. Сафонова 1А, ул. Северная Застава 40, ул. Кирова 14; н.п. Щукозеро ул. Приозерная 1, 3; потребителей, присоединенных к сетям ФГБУ «ЦЖКУ» МО РФ по ул. Гвардейская 1)</v>
      </c>
      <c r="AH122" s="16111"/>
      <c r="AI122" s="16111"/>
      <c r="AJ122" s="16111"/>
      <c r="AK122" s="16111"/>
      <c r="AL122" s="16111"/>
      <c r="AM122" s="16111"/>
      <c r="AN122" s="16111"/>
      <c r="AO122" s="16111"/>
      <c r="AP122" s="16111"/>
      <c r="AQ122" s="16111"/>
      <c r="AR122" s="16110"/>
      <c r="AS122" s="16111"/>
      <c r="AT122" s="16111"/>
      <c r="AU122" s="16111"/>
      <c r="AV122" s="16111"/>
      <c r="AW122" s="16111"/>
      <c r="AX122" s="16111"/>
      <c r="AY122" s="16111"/>
      <c r="AZ122" s="16111"/>
      <c r="BA122" s="16111"/>
      <c r="BB122" s="16112"/>
      <c r="BC122" s="16110"/>
      <c r="BD122" s="16111"/>
      <c r="BE122" s="16111"/>
      <c r="BF122" s="16111"/>
      <c r="BG122" s="16111"/>
      <c r="BH122" s="16111"/>
      <c r="BI122" s="16111"/>
      <c r="BJ122" s="16111"/>
      <c r="BK122" s="16111"/>
      <c r="BL122" s="16111"/>
      <c r="BM122" s="16112"/>
      <c r="BN122" s="16110"/>
      <c r="BO122" s="16111"/>
      <c r="BP122" s="16111"/>
      <c r="BQ122" s="16111"/>
      <c r="BR122" s="16111"/>
      <c r="BS122" s="16111"/>
      <c r="BT122" s="16111"/>
      <c r="BU122" s="16111"/>
      <c r="BV122" s="16111"/>
      <c r="BW122" s="16111"/>
      <c r="BX122" s="16112"/>
      <c r="BY122" s="16110"/>
      <c r="BZ122" s="16111"/>
      <c r="CA122" s="16111"/>
      <c r="CB122" s="16111"/>
      <c r="CC122" s="16111"/>
      <c r="CD122" s="16111"/>
      <c r="CE122" s="16111"/>
      <c r="CF122" s="16111"/>
      <c r="CG122" s="16111"/>
      <c r="CH122" s="16111"/>
      <c r="CI122" s="16112"/>
      <c r="CJ122" s="16110"/>
      <c r="CK122" s="16111"/>
      <c r="CL122" s="16111"/>
      <c r="CM122" s="16111"/>
      <c r="CN122" s="16111"/>
      <c r="CO122" s="16111"/>
      <c r="CP122" s="16111"/>
      <c r="CQ122" s="16111"/>
      <c r="CR122" s="16111"/>
      <c r="CS122" s="16111"/>
      <c r="CT122" s="16112"/>
      <c r="CU122" s="16110"/>
      <c r="CV122" s="16111"/>
      <c r="CW122" s="16111"/>
      <c r="CX122" s="16111"/>
      <c r="CY122" s="16111"/>
      <c r="CZ122" s="16111"/>
      <c r="DA122" s="16111"/>
      <c r="DB122" s="16111"/>
      <c r="DC122" s="16111"/>
      <c r="DD122" s="16111"/>
      <c r="DE122" s="16112"/>
      <c r="DF122" s="16110"/>
      <c r="DG122" s="16111"/>
      <c r="DH122" s="16111"/>
      <c r="DI122" s="16111"/>
      <c r="DJ122" s="16111"/>
      <c r="DK122" s="16111"/>
      <c r="DL122" s="16111"/>
      <c r="DM122" s="16111"/>
      <c r="DN122" s="16111"/>
      <c r="DO122" s="16111"/>
      <c r="DP122" s="16112"/>
      <c r="DQ122" s="16110"/>
      <c r="DR122" s="16111"/>
      <c r="DS122" s="16111"/>
      <c r="DT122" s="16111"/>
      <c r="DU122" s="16111"/>
      <c r="DV122" s="16111"/>
      <c r="DW122" s="16111"/>
      <c r="DX122" s="16111"/>
      <c r="DY122" s="16111"/>
      <c r="DZ122" s="16111"/>
      <c r="EA122" s="16112"/>
      <c r="EB122" s="16110"/>
      <c r="EC122" s="16111"/>
      <c r="ED122" s="16111"/>
      <c r="EE122" s="16111"/>
      <c r="EF122" s="16111"/>
      <c r="EG122" s="16111"/>
      <c r="EH122" s="16111"/>
      <c r="EI122" s="16111"/>
      <c r="EJ122" s="16111"/>
      <c r="EK122" s="16111"/>
      <c r="EL122" s="16112"/>
      <c r="EM122" s="16110"/>
      <c r="EN122" s="16111"/>
      <c r="EO122" s="16111"/>
      <c r="EP122" s="16111"/>
      <c r="EQ122" s="16111"/>
      <c r="ER122" s="16111"/>
      <c r="ES122" s="16111"/>
      <c r="ET122" s="16111"/>
      <c r="EU122" s="16111"/>
      <c r="EV122" s="16111"/>
      <c r="EW122" s="16112"/>
      <c r="EX122" s="16112"/>
      <c r="EY122" s="2511" t="s">
        <v>666</v>
      </c>
      <c r="EZ122" s="2199"/>
      <c r="FA122" s="2512"/>
      <c r="FB122" s="2512" t="str">
        <f t="shared" si="2"/>
        <v>Наименование централизованной системы горячего водоснабжения</v>
      </c>
      <c r="FC122" s="2512"/>
      <c r="FD122" s="2512"/>
    </row>
    <row r="123" spans="1:160" s="14829" customFormat="1" ht="23.25" customHeight="1">
      <c r="A123" s="2502"/>
      <c r="B123" s="2502"/>
      <c r="C123" s="2502"/>
      <c r="D123" s="2502"/>
      <c r="E123" s="16125"/>
      <c r="F123" s="16125" t="s">
        <v>92</v>
      </c>
      <c r="G123" s="16125"/>
      <c r="H123" s="16125"/>
      <c r="I123" s="16122" t="str">
        <f>S122&amp;".1"</f>
        <v>1.8.1.1</v>
      </c>
      <c r="J123" s="2502"/>
      <c r="K123" s="2502"/>
      <c r="L123" s="2503"/>
      <c r="M123" s="2513"/>
      <c r="N123" s="2513"/>
      <c r="O123" s="2513"/>
      <c r="P123" s="16123">
        <v>1</v>
      </c>
      <c r="Q123" s="2514"/>
      <c r="R123" s="2515"/>
      <c r="S123" s="2508" t="str">
        <f>$I123</f>
        <v>1.8.1.1</v>
      </c>
      <c r="T123" s="2516" t="s">
        <v>618</v>
      </c>
      <c r="U123" s="2510"/>
      <c r="V123" s="16183"/>
      <c r="W123" s="16184"/>
      <c r="X123" s="16184"/>
      <c r="Y123" s="16184"/>
      <c r="Z123" s="16184"/>
      <c r="AA123" s="16184"/>
      <c r="AB123" s="16184"/>
      <c r="AC123" s="16184"/>
      <c r="AD123" s="16184"/>
      <c r="AE123" s="16184"/>
      <c r="AF123" s="16185"/>
      <c r="AG123" s="16186"/>
      <c r="AH123" s="16187"/>
      <c r="AI123" s="16187"/>
      <c r="AJ123" s="16187"/>
      <c r="AK123" s="16187"/>
      <c r="AL123" s="16187"/>
      <c r="AM123" s="16187"/>
      <c r="AN123" s="16187"/>
      <c r="AO123" s="16187"/>
      <c r="AP123" s="16187"/>
      <c r="AQ123" s="16187"/>
      <c r="AR123" s="16183"/>
      <c r="AS123" s="16184"/>
      <c r="AT123" s="16184"/>
      <c r="AU123" s="16184"/>
      <c r="AV123" s="16184"/>
      <c r="AW123" s="16184"/>
      <c r="AX123" s="16184"/>
      <c r="AY123" s="16184"/>
      <c r="AZ123" s="16184"/>
      <c r="BA123" s="16184"/>
      <c r="BB123" s="16185"/>
      <c r="BC123" s="16183"/>
      <c r="BD123" s="16184"/>
      <c r="BE123" s="16184"/>
      <c r="BF123" s="16184"/>
      <c r="BG123" s="16184"/>
      <c r="BH123" s="16184"/>
      <c r="BI123" s="16184"/>
      <c r="BJ123" s="16184"/>
      <c r="BK123" s="16184"/>
      <c r="BL123" s="16184"/>
      <c r="BM123" s="16185"/>
      <c r="BN123" s="16183"/>
      <c r="BO123" s="16184"/>
      <c r="BP123" s="16184"/>
      <c r="BQ123" s="16184"/>
      <c r="BR123" s="16184"/>
      <c r="BS123" s="16184"/>
      <c r="BT123" s="16184"/>
      <c r="BU123" s="16184"/>
      <c r="BV123" s="16184"/>
      <c r="BW123" s="16184"/>
      <c r="BX123" s="16185"/>
      <c r="BY123" s="16183"/>
      <c r="BZ123" s="16184"/>
      <c r="CA123" s="16184"/>
      <c r="CB123" s="16184"/>
      <c r="CC123" s="16184"/>
      <c r="CD123" s="16184"/>
      <c r="CE123" s="16184"/>
      <c r="CF123" s="16184"/>
      <c r="CG123" s="16184"/>
      <c r="CH123" s="16184"/>
      <c r="CI123" s="16185"/>
      <c r="CJ123" s="16183"/>
      <c r="CK123" s="16184"/>
      <c r="CL123" s="16184"/>
      <c r="CM123" s="16184"/>
      <c r="CN123" s="16184"/>
      <c r="CO123" s="16184"/>
      <c r="CP123" s="16184"/>
      <c r="CQ123" s="16184"/>
      <c r="CR123" s="16184"/>
      <c r="CS123" s="16184"/>
      <c r="CT123" s="16185"/>
      <c r="CU123" s="16183"/>
      <c r="CV123" s="16184"/>
      <c r="CW123" s="16184"/>
      <c r="CX123" s="16184"/>
      <c r="CY123" s="16184"/>
      <c r="CZ123" s="16184"/>
      <c r="DA123" s="16184"/>
      <c r="DB123" s="16184"/>
      <c r="DC123" s="16184"/>
      <c r="DD123" s="16184"/>
      <c r="DE123" s="16185"/>
      <c r="DF123" s="16183"/>
      <c r="DG123" s="16184"/>
      <c r="DH123" s="16184"/>
      <c r="DI123" s="16184"/>
      <c r="DJ123" s="16184"/>
      <c r="DK123" s="16184"/>
      <c r="DL123" s="16184"/>
      <c r="DM123" s="16184"/>
      <c r="DN123" s="16184"/>
      <c r="DO123" s="16184"/>
      <c r="DP123" s="16185"/>
      <c r="DQ123" s="16183"/>
      <c r="DR123" s="16184"/>
      <c r="DS123" s="16184"/>
      <c r="DT123" s="16184"/>
      <c r="DU123" s="16184"/>
      <c r="DV123" s="16184"/>
      <c r="DW123" s="16184"/>
      <c r="DX123" s="16184"/>
      <c r="DY123" s="16184"/>
      <c r="DZ123" s="16184"/>
      <c r="EA123" s="16185"/>
      <c r="EB123" s="16183"/>
      <c r="EC123" s="16184"/>
      <c r="ED123" s="16184"/>
      <c r="EE123" s="16184"/>
      <c r="EF123" s="16184"/>
      <c r="EG123" s="16184"/>
      <c r="EH123" s="16184"/>
      <c r="EI123" s="16184"/>
      <c r="EJ123" s="16184"/>
      <c r="EK123" s="16184"/>
      <c r="EL123" s="16185"/>
      <c r="EM123" s="16183"/>
      <c r="EN123" s="16184"/>
      <c r="EO123" s="16184"/>
      <c r="EP123" s="16184"/>
      <c r="EQ123" s="16184"/>
      <c r="ER123" s="16184"/>
      <c r="ES123" s="16184"/>
      <c r="ET123" s="16184"/>
      <c r="EU123" s="16184"/>
      <c r="EV123" s="16184"/>
      <c r="EW123" s="16185"/>
      <c r="EX123" s="16188"/>
      <c r="EY123" s="2511" t="s">
        <v>619</v>
      </c>
      <c r="EZ123" s="2199"/>
      <c r="FA123" s="2512"/>
      <c r="FB123" s="2512" t="str">
        <f t="shared" si="2"/>
        <v>Наименование признака дифференциации</v>
      </c>
      <c r="FC123" s="2512"/>
      <c r="FD123" s="2512"/>
    </row>
    <row r="124" spans="1:160" s="14830" customFormat="1" ht="23.25" customHeight="1">
      <c r="A124" s="2502"/>
      <c r="B124" s="2502"/>
      <c r="C124" s="2502"/>
      <c r="D124" s="2502"/>
      <c r="E124" s="16125"/>
      <c r="F124" s="16125" t="s">
        <v>92</v>
      </c>
      <c r="G124" s="16125"/>
      <c r="H124" s="16125"/>
      <c r="I124" s="16145"/>
      <c r="J124" s="16122" t="str">
        <f>I123&amp;".1"</f>
        <v>1.8.1.1.1</v>
      </c>
      <c r="K124" s="2502"/>
      <c r="L124" s="2503" t="s">
        <v>543</v>
      </c>
      <c r="M124" s="2513"/>
      <c r="N124" s="2513"/>
      <c r="O124" s="2513"/>
      <c r="P124" s="16123"/>
      <c r="Q124" s="16123">
        <v>1</v>
      </c>
      <c r="R124" s="2517"/>
      <c r="S124" s="2508" t="str">
        <f>$J124</f>
        <v>1.8.1.1.1</v>
      </c>
      <c r="T124" s="2518" t="s">
        <v>544</v>
      </c>
      <c r="U124" s="2510"/>
      <c r="V124" s="16113"/>
      <c r="W124" s="16114"/>
      <c r="X124" s="16114"/>
      <c r="Y124" s="16114"/>
      <c r="Z124" s="16114"/>
      <c r="AA124" s="16114"/>
      <c r="AB124" s="16114"/>
      <c r="AC124" s="16114"/>
      <c r="AD124" s="16114"/>
      <c r="AE124" s="16114"/>
      <c r="AF124" s="16115"/>
      <c r="AG124" s="16113" t="s">
        <v>678</v>
      </c>
      <c r="AH124" s="16114"/>
      <c r="AI124" s="16114"/>
      <c r="AJ124" s="16114"/>
      <c r="AK124" s="16114"/>
      <c r="AL124" s="16114"/>
      <c r="AM124" s="16114"/>
      <c r="AN124" s="16114"/>
      <c r="AO124" s="16114"/>
      <c r="AP124" s="16114"/>
      <c r="AQ124" s="16114"/>
      <c r="AR124" s="16113"/>
      <c r="AS124" s="16114"/>
      <c r="AT124" s="16114"/>
      <c r="AU124" s="16114"/>
      <c r="AV124" s="16114"/>
      <c r="AW124" s="16114"/>
      <c r="AX124" s="16114"/>
      <c r="AY124" s="16114"/>
      <c r="AZ124" s="16114"/>
      <c r="BA124" s="16114"/>
      <c r="BB124" s="16115"/>
      <c r="BC124" s="16113"/>
      <c r="BD124" s="16114"/>
      <c r="BE124" s="16114"/>
      <c r="BF124" s="16114"/>
      <c r="BG124" s="16114"/>
      <c r="BH124" s="16114"/>
      <c r="BI124" s="16114"/>
      <c r="BJ124" s="16114"/>
      <c r="BK124" s="16114"/>
      <c r="BL124" s="16114"/>
      <c r="BM124" s="16115"/>
      <c r="BN124" s="16113"/>
      <c r="BO124" s="16114"/>
      <c r="BP124" s="16114"/>
      <c r="BQ124" s="16114"/>
      <c r="BR124" s="16114"/>
      <c r="BS124" s="16114"/>
      <c r="BT124" s="16114"/>
      <c r="BU124" s="16114"/>
      <c r="BV124" s="16114"/>
      <c r="BW124" s="16114"/>
      <c r="BX124" s="16115"/>
      <c r="BY124" s="16113"/>
      <c r="BZ124" s="16114"/>
      <c r="CA124" s="16114"/>
      <c r="CB124" s="16114"/>
      <c r="CC124" s="16114"/>
      <c r="CD124" s="16114"/>
      <c r="CE124" s="16114"/>
      <c r="CF124" s="16114"/>
      <c r="CG124" s="16114"/>
      <c r="CH124" s="16114"/>
      <c r="CI124" s="16115"/>
      <c r="CJ124" s="16113"/>
      <c r="CK124" s="16114"/>
      <c r="CL124" s="16114"/>
      <c r="CM124" s="16114"/>
      <c r="CN124" s="16114"/>
      <c r="CO124" s="16114"/>
      <c r="CP124" s="16114"/>
      <c r="CQ124" s="16114"/>
      <c r="CR124" s="16114"/>
      <c r="CS124" s="16114"/>
      <c r="CT124" s="16115"/>
      <c r="CU124" s="16113"/>
      <c r="CV124" s="16114"/>
      <c r="CW124" s="16114"/>
      <c r="CX124" s="16114"/>
      <c r="CY124" s="16114"/>
      <c r="CZ124" s="16114"/>
      <c r="DA124" s="16114"/>
      <c r="DB124" s="16114"/>
      <c r="DC124" s="16114"/>
      <c r="DD124" s="16114"/>
      <c r="DE124" s="16115"/>
      <c r="DF124" s="16113"/>
      <c r="DG124" s="16114"/>
      <c r="DH124" s="16114"/>
      <c r="DI124" s="16114"/>
      <c r="DJ124" s="16114"/>
      <c r="DK124" s="16114"/>
      <c r="DL124" s="16114"/>
      <c r="DM124" s="16114"/>
      <c r="DN124" s="16114"/>
      <c r="DO124" s="16114"/>
      <c r="DP124" s="16115"/>
      <c r="DQ124" s="16113"/>
      <c r="DR124" s="16114"/>
      <c r="DS124" s="16114"/>
      <c r="DT124" s="16114"/>
      <c r="DU124" s="16114"/>
      <c r="DV124" s="16114"/>
      <c r="DW124" s="16114"/>
      <c r="DX124" s="16114"/>
      <c r="DY124" s="16114"/>
      <c r="DZ124" s="16114"/>
      <c r="EA124" s="16115"/>
      <c r="EB124" s="16113"/>
      <c r="EC124" s="16114"/>
      <c r="ED124" s="16114"/>
      <c r="EE124" s="16114"/>
      <c r="EF124" s="16114"/>
      <c r="EG124" s="16114"/>
      <c r="EH124" s="16114"/>
      <c r="EI124" s="16114"/>
      <c r="EJ124" s="16114"/>
      <c r="EK124" s="16114"/>
      <c r="EL124" s="16115"/>
      <c r="EM124" s="16113"/>
      <c r="EN124" s="16114"/>
      <c r="EO124" s="16114"/>
      <c r="EP124" s="16114"/>
      <c r="EQ124" s="16114"/>
      <c r="ER124" s="16114"/>
      <c r="ES124" s="16114"/>
      <c r="ET124" s="16114"/>
      <c r="EU124" s="16114"/>
      <c r="EV124" s="16114"/>
      <c r="EW124" s="16115"/>
      <c r="EX124" s="16115"/>
      <c r="EY124" s="2519" t="s">
        <v>620</v>
      </c>
      <c r="EZ124" s="2199"/>
      <c r="FA124" s="2512"/>
      <c r="FB124" s="2512" t="str">
        <f t="shared" si="2"/>
        <v>Группа потребителей</v>
      </c>
      <c r="FC124" s="2512"/>
      <c r="FD124" s="2512"/>
    </row>
    <row r="125" spans="1:160" s="14831" customFormat="1" ht="23.25" customHeight="1">
      <c r="A125" s="2502"/>
      <c r="B125" s="2502"/>
      <c r="C125" s="2502"/>
      <c r="D125" s="2502"/>
      <c r="E125" s="16125"/>
      <c r="F125" s="16125" t="s">
        <v>92</v>
      </c>
      <c r="G125" s="16125"/>
      <c r="H125" s="16125"/>
      <c r="I125" s="16145"/>
      <c r="J125" s="16145"/>
      <c r="K125" s="16122" t="str">
        <f>J124&amp;".1"</f>
        <v>1.8.1.1.1.1</v>
      </c>
      <c r="L125" s="2503"/>
      <c r="M125" s="2513"/>
      <c r="N125" s="2513"/>
      <c r="O125" s="2513"/>
      <c r="P125" s="16123"/>
      <c r="Q125" s="16123"/>
      <c r="R125" s="2517">
        <v>1</v>
      </c>
      <c r="S125" s="2508" t="str">
        <f>$K125</f>
        <v>1.8.1.1.1.1</v>
      </c>
      <c r="T125" s="2520"/>
      <c r="U125" s="2510"/>
      <c r="V125" s="1893"/>
      <c r="W125" s="1893"/>
      <c r="X125" s="1893"/>
      <c r="Y125" s="1893"/>
      <c r="Z125" s="1893"/>
      <c r="AA125" s="1893"/>
      <c r="AB125" s="1893"/>
      <c r="AC125" s="16127"/>
      <c r="AD125" s="15973" t="s">
        <v>66</v>
      </c>
      <c r="AE125" s="16127"/>
      <c r="AF125" s="15973" t="s">
        <v>66</v>
      </c>
      <c r="AG125" s="1893">
        <v>24.42</v>
      </c>
      <c r="AH125" s="1893"/>
      <c r="AI125" s="1893"/>
      <c r="AJ125" s="1893"/>
      <c r="AK125" s="1893">
        <v>3695.1</v>
      </c>
      <c r="AL125" s="1893"/>
      <c r="AM125" s="1893"/>
      <c r="AN125" s="16127">
        <v>45292</v>
      </c>
      <c r="AO125" s="15973" t="s">
        <v>66</v>
      </c>
      <c r="AP125" s="16146">
        <v>45378</v>
      </c>
      <c r="AQ125" s="15973" t="s">
        <v>66</v>
      </c>
      <c r="AR125" s="1893">
        <v>24.42</v>
      </c>
      <c r="AS125" s="1893"/>
      <c r="AT125" s="1893"/>
      <c r="AU125" s="1893"/>
      <c r="AV125" s="1893">
        <v>3695.1</v>
      </c>
      <c r="AW125" s="1893"/>
      <c r="AX125" s="1893"/>
      <c r="AY125" s="16127">
        <v>45379</v>
      </c>
      <c r="AZ125" s="15973" t="s">
        <v>66</v>
      </c>
      <c r="BA125" s="16127">
        <v>45473</v>
      </c>
      <c r="BB125" s="15973" t="s">
        <v>66</v>
      </c>
      <c r="BC125" s="1893">
        <v>28.08</v>
      </c>
      <c r="BD125" s="1893"/>
      <c r="BE125" s="1893"/>
      <c r="BF125" s="1893"/>
      <c r="BG125" s="1893">
        <v>4000</v>
      </c>
      <c r="BH125" s="1893"/>
      <c r="BI125" s="1893"/>
      <c r="BJ125" s="16127">
        <v>45474</v>
      </c>
      <c r="BK125" s="15973" t="s">
        <v>66</v>
      </c>
      <c r="BL125" s="16127">
        <v>45657</v>
      </c>
      <c r="BM125" s="15973" t="s">
        <v>66</v>
      </c>
      <c r="BN125" s="1893">
        <v>25.57</v>
      </c>
      <c r="BO125" s="1893"/>
      <c r="BP125" s="1893"/>
      <c r="BQ125" s="1893"/>
      <c r="BR125" s="1893">
        <v>4000</v>
      </c>
      <c r="BS125" s="1893"/>
      <c r="BT125" s="1893"/>
      <c r="BU125" s="16127">
        <v>45658</v>
      </c>
      <c r="BV125" s="15973" t="s">
        <v>66</v>
      </c>
      <c r="BW125" s="16127">
        <v>45838</v>
      </c>
      <c r="BX125" s="15973" t="s">
        <v>66</v>
      </c>
      <c r="BY125" s="1893">
        <v>26.59</v>
      </c>
      <c r="BZ125" s="1893"/>
      <c r="CA125" s="1893"/>
      <c r="CB125" s="1893"/>
      <c r="CC125" s="1893">
        <v>4168</v>
      </c>
      <c r="CD125" s="1893"/>
      <c r="CE125" s="1893"/>
      <c r="CF125" s="16127">
        <v>45839</v>
      </c>
      <c r="CG125" s="15973" t="s">
        <v>66</v>
      </c>
      <c r="CH125" s="16127">
        <v>46022</v>
      </c>
      <c r="CI125" s="15973" t="s">
        <v>66</v>
      </c>
      <c r="CJ125" s="1893">
        <v>26.59</v>
      </c>
      <c r="CK125" s="1893"/>
      <c r="CL125" s="1893"/>
      <c r="CM125" s="1893"/>
      <c r="CN125" s="1893">
        <v>4168</v>
      </c>
      <c r="CO125" s="1893"/>
      <c r="CP125" s="1893"/>
      <c r="CQ125" s="16127">
        <v>46023</v>
      </c>
      <c r="CR125" s="15973" t="s">
        <v>66</v>
      </c>
      <c r="CS125" s="16127">
        <v>46203</v>
      </c>
      <c r="CT125" s="15973" t="s">
        <v>66</v>
      </c>
      <c r="CU125" s="1893">
        <v>27.66</v>
      </c>
      <c r="CV125" s="1893"/>
      <c r="CW125" s="1893"/>
      <c r="CX125" s="1893"/>
      <c r="CY125" s="1893">
        <v>4334.72</v>
      </c>
      <c r="CZ125" s="1893"/>
      <c r="DA125" s="1893"/>
      <c r="DB125" s="16127">
        <v>46204</v>
      </c>
      <c r="DC125" s="15973" t="s">
        <v>66</v>
      </c>
      <c r="DD125" s="16127">
        <v>46387</v>
      </c>
      <c r="DE125" s="15973" t="s">
        <v>66</v>
      </c>
      <c r="DF125" s="1893">
        <v>27.66</v>
      </c>
      <c r="DG125" s="1893"/>
      <c r="DH125" s="1893"/>
      <c r="DI125" s="1893"/>
      <c r="DJ125" s="1893">
        <v>4334.72</v>
      </c>
      <c r="DK125" s="1893"/>
      <c r="DL125" s="1893"/>
      <c r="DM125" s="16127">
        <v>46388</v>
      </c>
      <c r="DN125" s="15973" t="s">
        <v>66</v>
      </c>
      <c r="DO125" s="16127">
        <v>46568</v>
      </c>
      <c r="DP125" s="15973" t="s">
        <v>66</v>
      </c>
      <c r="DQ125" s="1893">
        <v>28.76</v>
      </c>
      <c r="DR125" s="1893"/>
      <c r="DS125" s="1893"/>
      <c r="DT125" s="1893"/>
      <c r="DU125" s="1893">
        <v>4508.1099999999997</v>
      </c>
      <c r="DV125" s="1893"/>
      <c r="DW125" s="1893"/>
      <c r="DX125" s="16127">
        <v>46569</v>
      </c>
      <c r="DY125" s="15973" t="s">
        <v>66</v>
      </c>
      <c r="DZ125" s="16127">
        <v>46752</v>
      </c>
      <c r="EA125" s="15973" t="s">
        <v>66</v>
      </c>
      <c r="EB125" s="1893">
        <v>28.76</v>
      </c>
      <c r="EC125" s="1893"/>
      <c r="ED125" s="1893"/>
      <c r="EE125" s="1893"/>
      <c r="EF125" s="1893">
        <v>4508.1099999999997</v>
      </c>
      <c r="EG125" s="1893"/>
      <c r="EH125" s="1893"/>
      <c r="EI125" s="16127">
        <v>46753</v>
      </c>
      <c r="EJ125" s="15973" t="s">
        <v>66</v>
      </c>
      <c r="EK125" s="16127">
        <v>46934</v>
      </c>
      <c r="EL125" s="15973" t="s">
        <v>66</v>
      </c>
      <c r="EM125" s="14448">
        <v>29.91</v>
      </c>
      <c r="EN125" s="14448"/>
      <c r="EO125" s="14448"/>
      <c r="EP125" s="14448"/>
      <c r="EQ125" s="14448">
        <v>4688.43</v>
      </c>
      <c r="ER125" s="14448"/>
      <c r="ES125" s="14448"/>
      <c r="ET125" s="16127">
        <v>46935</v>
      </c>
      <c r="EU125" s="15973" t="s">
        <v>66</v>
      </c>
      <c r="EV125" s="16127">
        <v>47118</v>
      </c>
      <c r="EW125" s="15973" t="s">
        <v>66</v>
      </c>
      <c r="EX125" s="2521"/>
      <c r="EY125"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25" s="2199" t="e">
        <f ca="1">STRCHECKDATE(V126:EX126)</f>
        <v>#NAME?</v>
      </c>
      <c r="FA125" s="2512"/>
      <c r="FB125" s="2512" t="str">
        <f t="shared" si="2"/>
        <v/>
      </c>
      <c r="FC125" s="2512"/>
      <c r="FD125" s="2512"/>
    </row>
    <row r="126" spans="1:160" s="14832" customFormat="1" ht="14.25" customHeight="1">
      <c r="A126" s="2502"/>
      <c r="B126" s="2502"/>
      <c r="C126" s="2502"/>
      <c r="D126" s="2502"/>
      <c r="E126" s="16125"/>
      <c r="F126" s="16125" t="s">
        <v>92</v>
      </c>
      <c r="G126" s="16125"/>
      <c r="H126" s="16125"/>
      <c r="I126" s="16145"/>
      <c r="J126" s="16145"/>
      <c r="K126" s="16122"/>
      <c r="L126" s="2503"/>
      <c r="M126" s="2513"/>
      <c r="N126" s="2513"/>
      <c r="O126" s="2513"/>
      <c r="P126" s="16123"/>
      <c r="Q126" s="16123"/>
      <c r="R126" s="2517"/>
      <c r="S126" s="2522"/>
      <c r="T126" s="2510"/>
      <c r="U126" s="2510"/>
      <c r="V126" s="1894"/>
      <c r="W126" s="1894"/>
      <c r="X126" s="1894"/>
      <c r="Y126" s="1894"/>
      <c r="Z126" s="1894"/>
      <c r="AA126" s="1894"/>
      <c r="AB126" s="1894"/>
      <c r="AC126" s="16128"/>
      <c r="AD126" s="15973"/>
      <c r="AE126" s="16128"/>
      <c r="AF126" s="15973"/>
      <c r="AG126" s="1894"/>
      <c r="AH126" s="1894"/>
      <c r="AI126" s="1894"/>
      <c r="AJ126" s="1894"/>
      <c r="AK126" s="1894"/>
      <c r="AL126" s="1894"/>
      <c r="AM126" s="1894"/>
      <c r="AN126" s="16128"/>
      <c r="AO126" s="15973"/>
      <c r="AP126" s="16147"/>
      <c r="AQ126" s="15973"/>
      <c r="AR126" s="1894"/>
      <c r="AS126" s="1894"/>
      <c r="AT126" s="1894"/>
      <c r="AU126" s="1894"/>
      <c r="AV126" s="1894"/>
      <c r="AW126" s="1894"/>
      <c r="AX126" s="1894"/>
      <c r="AY126" s="16128"/>
      <c r="AZ126" s="15973"/>
      <c r="BA126" s="16128"/>
      <c r="BB126" s="15973"/>
      <c r="BC126" s="1894"/>
      <c r="BD126" s="1894"/>
      <c r="BE126" s="1894"/>
      <c r="BF126" s="1894"/>
      <c r="BG126" s="1894"/>
      <c r="BH126" s="1894"/>
      <c r="BI126" s="1894"/>
      <c r="BJ126" s="16128"/>
      <c r="BK126" s="15973"/>
      <c r="BL126" s="16128"/>
      <c r="BM126" s="15973"/>
      <c r="BN126" s="1894"/>
      <c r="BO126" s="1894"/>
      <c r="BP126" s="1894"/>
      <c r="BQ126" s="1894"/>
      <c r="BR126" s="1894"/>
      <c r="BS126" s="1894"/>
      <c r="BT126" s="1894"/>
      <c r="BU126" s="16128"/>
      <c r="BV126" s="15973"/>
      <c r="BW126" s="16128"/>
      <c r="BX126" s="15973"/>
      <c r="BY126" s="1894"/>
      <c r="BZ126" s="1894"/>
      <c r="CA126" s="1894"/>
      <c r="CB126" s="1894"/>
      <c r="CC126" s="1894"/>
      <c r="CD126" s="1894"/>
      <c r="CE126" s="1894"/>
      <c r="CF126" s="16128"/>
      <c r="CG126" s="15973"/>
      <c r="CH126" s="16128"/>
      <c r="CI126" s="15973"/>
      <c r="CJ126" s="1894"/>
      <c r="CK126" s="1894"/>
      <c r="CL126" s="1894"/>
      <c r="CM126" s="1894"/>
      <c r="CN126" s="1894"/>
      <c r="CO126" s="1894"/>
      <c r="CP126" s="1894"/>
      <c r="CQ126" s="16128"/>
      <c r="CR126" s="15973"/>
      <c r="CS126" s="16128"/>
      <c r="CT126" s="15973"/>
      <c r="CU126" s="1894"/>
      <c r="CV126" s="1894"/>
      <c r="CW126" s="1894"/>
      <c r="CX126" s="1894"/>
      <c r="CY126" s="1894"/>
      <c r="CZ126" s="1894"/>
      <c r="DA126" s="1894"/>
      <c r="DB126" s="16128"/>
      <c r="DC126" s="15973"/>
      <c r="DD126" s="16128"/>
      <c r="DE126" s="15973"/>
      <c r="DF126" s="1894"/>
      <c r="DG126" s="1894"/>
      <c r="DH126" s="1894"/>
      <c r="DI126" s="1894"/>
      <c r="DJ126" s="1894"/>
      <c r="DK126" s="1894"/>
      <c r="DL126" s="1894"/>
      <c r="DM126" s="16128"/>
      <c r="DN126" s="15973"/>
      <c r="DO126" s="16128"/>
      <c r="DP126" s="15973"/>
      <c r="DQ126" s="1894"/>
      <c r="DR126" s="1894"/>
      <c r="DS126" s="1894"/>
      <c r="DT126" s="1894"/>
      <c r="DU126" s="1894"/>
      <c r="DV126" s="1894"/>
      <c r="DW126" s="1894"/>
      <c r="DX126" s="16128"/>
      <c r="DY126" s="15973"/>
      <c r="DZ126" s="16128"/>
      <c r="EA126" s="15973"/>
      <c r="EB126" s="1894"/>
      <c r="EC126" s="1894"/>
      <c r="ED126" s="1894"/>
      <c r="EE126" s="1894"/>
      <c r="EF126" s="1894"/>
      <c r="EG126" s="1894"/>
      <c r="EH126" s="1894"/>
      <c r="EI126" s="16128"/>
      <c r="EJ126" s="15973"/>
      <c r="EK126" s="16128"/>
      <c r="EL126" s="15973"/>
      <c r="EM126" s="14449"/>
      <c r="EN126" s="14449"/>
      <c r="EO126" s="14449"/>
      <c r="EP126" s="14449"/>
      <c r="EQ126" s="14449"/>
      <c r="ER126" s="14449"/>
      <c r="ES126" s="14449"/>
      <c r="ET126" s="16128"/>
      <c r="EU126" s="15973"/>
      <c r="EV126" s="16128"/>
      <c r="EW126" s="15973"/>
      <c r="EX126" s="2523"/>
      <c r="EY126" s="16182"/>
      <c r="EZ126" s="2199"/>
      <c r="FA126" s="2512"/>
      <c r="FB126" s="2512" t="str">
        <f t="shared" si="2"/>
        <v/>
      </c>
      <c r="FC126" s="2512"/>
      <c r="FD126" s="2512"/>
    </row>
    <row r="127" spans="1:160" s="14833" customFormat="1" ht="21" customHeight="1">
      <c r="A127" s="2502"/>
      <c r="B127" s="2502"/>
      <c r="C127" s="2502"/>
      <c r="D127" s="2502"/>
      <c r="E127" s="16125"/>
      <c r="F127" s="16125" t="s">
        <v>92</v>
      </c>
      <c r="G127" s="16125"/>
      <c r="H127" s="16125"/>
      <c r="I127" s="16145"/>
      <c r="J127" s="16122"/>
      <c r="K127" s="2502"/>
      <c r="L127" s="2503"/>
      <c r="M127" s="2513"/>
      <c r="N127" s="2513"/>
      <c r="O127" s="2513"/>
      <c r="P127" s="16123"/>
      <c r="Q127" s="16123"/>
      <c r="R127" s="2515"/>
      <c r="S127" s="5175"/>
      <c r="T127" s="5176" t="s">
        <v>621</v>
      </c>
      <c r="U127" s="5177"/>
      <c r="V127" s="5178"/>
      <c r="W127" s="5179"/>
      <c r="X127" s="5180"/>
      <c r="Y127" s="5181"/>
      <c r="Z127" s="5182"/>
      <c r="AA127" s="5183"/>
      <c r="AB127" s="5184"/>
      <c r="AC127" s="5185"/>
      <c r="AD127" s="5186"/>
      <c r="AE127" s="5187"/>
      <c r="AF127" s="5188"/>
      <c r="AG127" s="5189"/>
      <c r="AH127" s="5190"/>
      <c r="AI127" s="5191"/>
      <c r="AJ127" s="5192"/>
      <c r="AK127" s="5193"/>
      <c r="AL127" s="5194"/>
      <c r="AM127" s="5195"/>
      <c r="AN127" s="5196"/>
      <c r="AO127" s="5197"/>
      <c r="AP127" s="5198"/>
      <c r="AQ127" s="5199"/>
      <c r="AR127" s="5200"/>
      <c r="AS127" s="5201"/>
      <c r="AT127" s="5202"/>
      <c r="AU127" s="5203"/>
      <c r="AV127" s="5204"/>
      <c r="AW127" s="5205"/>
      <c r="AX127" s="5206"/>
      <c r="AY127" s="5207"/>
      <c r="AZ127" s="5208"/>
      <c r="BA127" s="5209"/>
      <c r="BB127" s="5210"/>
      <c r="BC127" s="5211"/>
      <c r="BD127" s="5212"/>
      <c r="BE127" s="5213"/>
      <c r="BF127" s="5214"/>
      <c r="BG127" s="5215"/>
      <c r="BH127" s="5216"/>
      <c r="BI127" s="5217"/>
      <c r="BJ127" s="5218"/>
      <c r="BK127" s="5219"/>
      <c r="BL127" s="5220"/>
      <c r="BM127" s="5221"/>
      <c r="BN127" s="5222"/>
      <c r="BO127" s="5223"/>
      <c r="BP127" s="5224"/>
      <c r="BQ127" s="5225"/>
      <c r="BR127" s="5226"/>
      <c r="BS127" s="5227"/>
      <c r="BT127" s="5228"/>
      <c r="BU127" s="5229"/>
      <c r="BV127" s="5230"/>
      <c r="BW127" s="5231"/>
      <c r="BX127" s="5232"/>
      <c r="BY127" s="5233"/>
      <c r="BZ127" s="5234"/>
      <c r="CA127" s="5235"/>
      <c r="CB127" s="5236"/>
      <c r="CC127" s="5237"/>
      <c r="CD127" s="5238"/>
      <c r="CE127" s="5239"/>
      <c r="CF127" s="5240"/>
      <c r="CG127" s="5241"/>
      <c r="CH127" s="5242"/>
      <c r="CI127" s="5243"/>
      <c r="CJ127" s="5244"/>
      <c r="CK127" s="5245"/>
      <c r="CL127" s="5246"/>
      <c r="CM127" s="5247"/>
      <c r="CN127" s="5248"/>
      <c r="CO127" s="5249"/>
      <c r="CP127" s="5250"/>
      <c r="CQ127" s="5251"/>
      <c r="CR127" s="5252"/>
      <c r="CS127" s="5253"/>
      <c r="CT127" s="5254"/>
      <c r="CU127" s="5255"/>
      <c r="CV127" s="5256"/>
      <c r="CW127" s="5257"/>
      <c r="CX127" s="5258"/>
      <c r="CY127" s="5259"/>
      <c r="CZ127" s="5260"/>
      <c r="DA127" s="5261"/>
      <c r="DB127" s="5262"/>
      <c r="DC127" s="5263"/>
      <c r="DD127" s="5264"/>
      <c r="DE127" s="5265"/>
      <c r="DF127" s="5266"/>
      <c r="DG127" s="5267"/>
      <c r="DH127" s="5268"/>
      <c r="DI127" s="5269"/>
      <c r="DJ127" s="5270"/>
      <c r="DK127" s="5271"/>
      <c r="DL127" s="5272"/>
      <c r="DM127" s="5273"/>
      <c r="DN127" s="5274"/>
      <c r="DO127" s="5275"/>
      <c r="DP127" s="5276"/>
      <c r="DQ127" s="5277"/>
      <c r="DR127" s="5278"/>
      <c r="DS127" s="5279"/>
      <c r="DT127" s="5280"/>
      <c r="DU127" s="5281"/>
      <c r="DV127" s="5282"/>
      <c r="DW127" s="5283"/>
      <c r="DX127" s="5284"/>
      <c r="DY127" s="5285"/>
      <c r="DZ127" s="5286"/>
      <c r="EA127" s="5287"/>
      <c r="EB127" s="5288"/>
      <c r="EC127" s="5289"/>
      <c r="ED127" s="5290"/>
      <c r="EE127" s="5291"/>
      <c r="EF127" s="5292"/>
      <c r="EG127" s="5293"/>
      <c r="EH127" s="5294"/>
      <c r="EI127" s="5295"/>
      <c r="EJ127" s="5296"/>
      <c r="EK127" s="5297"/>
      <c r="EL127" s="5298"/>
      <c r="EM127" s="14834"/>
      <c r="EN127" s="14835"/>
      <c r="EO127" s="14836"/>
      <c r="EP127" s="14837"/>
      <c r="EQ127" s="14838"/>
      <c r="ER127" s="14839"/>
      <c r="ES127" s="14840"/>
      <c r="ET127" s="14841"/>
      <c r="EU127" s="14842"/>
      <c r="EV127" s="14843"/>
      <c r="EW127" s="14844"/>
      <c r="EX127" s="5299"/>
      <c r="EY127" s="2511" t="s">
        <v>622</v>
      </c>
      <c r="EZ127" s="2199"/>
      <c r="FA127" s="2512"/>
      <c r="FB127" s="2512" t="str">
        <f t="shared" si="2"/>
        <v>Добавить значение признака дифференциации</v>
      </c>
      <c r="FC127" s="2512"/>
      <c r="FD127" s="2512"/>
    </row>
    <row r="128" spans="1:160" s="14845" customFormat="1" ht="21" customHeight="1">
      <c r="A128" s="2502"/>
      <c r="B128" s="2502"/>
      <c r="C128" s="2502"/>
      <c r="D128" s="2502"/>
      <c r="E128" s="16125"/>
      <c r="F128" s="16125" t="s">
        <v>92</v>
      </c>
      <c r="G128" s="16125"/>
      <c r="H128" s="16125"/>
      <c r="I128" s="16122"/>
      <c r="J128" s="2502"/>
      <c r="K128" s="2502"/>
      <c r="L128" s="2503"/>
      <c r="M128" s="2513"/>
      <c r="N128" s="2513"/>
      <c r="O128" s="2513"/>
      <c r="P128" s="16123"/>
      <c r="Q128" s="2514"/>
      <c r="R128" s="2515"/>
      <c r="S128" s="5300"/>
      <c r="T128" s="5301" t="s">
        <v>549</v>
      </c>
      <c r="U128" s="5302"/>
      <c r="V128" s="5303"/>
      <c r="W128" s="5304"/>
      <c r="X128" s="5305"/>
      <c r="Y128" s="5306"/>
      <c r="Z128" s="5307"/>
      <c r="AA128" s="5308"/>
      <c r="AB128" s="5309"/>
      <c r="AC128" s="5310"/>
      <c r="AD128" s="5311"/>
      <c r="AE128" s="5312"/>
      <c r="AF128" s="5313"/>
      <c r="AG128" s="5314"/>
      <c r="AH128" s="5315"/>
      <c r="AI128" s="5316"/>
      <c r="AJ128" s="5317"/>
      <c r="AK128" s="5318"/>
      <c r="AL128" s="5319"/>
      <c r="AM128" s="5320"/>
      <c r="AN128" s="5321"/>
      <c r="AO128" s="5322"/>
      <c r="AP128" s="5323"/>
      <c r="AQ128" s="5324"/>
      <c r="AR128" s="5325"/>
      <c r="AS128" s="5326"/>
      <c r="AT128" s="5327"/>
      <c r="AU128" s="5328"/>
      <c r="AV128" s="5329"/>
      <c r="AW128" s="5330"/>
      <c r="AX128" s="5331"/>
      <c r="AY128" s="5332"/>
      <c r="AZ128" s="5333"/>
      <c r="BA128" s="5334"/>
      <c r="BB128" s="5335"/>
      <c r="BC128" s="5336"/>
      <c r="BD128" s="5337"/>
      <c r="BE128" s="5338"/>
      <c r="BF128" s="5339"/>
      <c r="BG128" s="5340"/>
      <c r="BH128" s="5341"/>
      <c r="BI128" s="5342"/>
      <c r="BJ128" s="5343"/>
      <c r="BK128" s="5344"/>
      <c r="BL128" s="5345"/>
      <c r="BM128" s="5346"/>
      <c r="BN128" s="5347"/>
      <c r="BO128" s="5348"/>
      <c r="BP128" s="5349"/>
      <c r="BQ128" s="5350"/>
      <c r="BR128" s="5351"/>
      <c r="BS128" s="5352"/>
      <c r="BT128" s="5353"/>
      <c r="BU128" s="5354"/>
      <c r="BV128" s="5355"/>
      <c r="BW128" s="5356"/>
      <c r="BX128" s="5357"/>
      <c r="BY128" s="5358"/>
      <c r="BZ128" s="5359"/>
      <c r="CA128" s="5360"/>
      <c r="CB128" s="5361"/>
      <c r="CC128" s="5362"/>
      <c r="CD128" s="5363"/>
      <c r="CE128" s="5364"/>
      <c r="CF128" s="5365"/>
      <c r="CG128" s="5366"/>
      <c r="CH128" s="5367"/>
      <c r="CI128" s="5368"/>
      <c r="CJ128" s="5369"/>
      <c r="CK128" s="5370"/>
      <c r="CL128" s="5371"/>
      <c r="CM128" s="5372"/>
      <c r="CN128" s="5373"/>
      <c r="CO128" s="5374"/>
      <c r="CP128" s="5375"/>
      <c r="CQ128" s="5376"/>
      <c r="CR128" s="5377"/>
      <c r="CS128" s="5378"/>
      <c r="CT128" s="5379"/>
      <c r="CU128" s="5380"/>
      <c r="CV128" s="5381"/>
      <c r="CW128" s="5382"/>
      <c r="CX128" s="5383"/>
      <c r="CY128" s="5384"/>
      <c r="CZ128" s="5385"/>
      <c r="DA128" s="5386"/>
      <c r="DB128" s="5387"/>
      <c r="DC128" s="5388"/>
      <c r="DD128" s="5389"/>
      <c r="DE128" s="5390"/>
      <c r="DF128" s="5391"/>
      <c r="DG128" s="5392"/>
      <c r="DH128" s="5393"/>
      <c r="DI128" s="5394"/>
      <c r="DJ128" s="5395"/>
      <c r="DK128" s="5396"/>
      <c r="DL128" s="5397"/>
      <c r="DM128" s="5398"/>
      <c r="DN128" s="5399"/>
      <c r="DO128" s="5400"/>
      <c r="DP128" s="5401"/>
      <c r="DQ128" s="5402"/>
      <c r="DR128" s="5403"/>
      <c r="DS128" s="5404"/>
      <c r="DT128" s="5405"/>
      <c r="DU128" s="5406"/>
      <c r="DV128" s="5407"/>
      <c r="DW128" s="5408"/>
      <c r="DX128" s="5409"/>
      <c r="DY128" s="5410"/>
      <c r="DZ128" s="5411"/>
      <c r="EA128" s="5412"/>
      <c r="EB128" s="5413"/>
      <c r="EC128" s="5414"/>
      <c r="ED128" s="5415"/>
      <c r="EE128" s="5416"/>
      <c r="EF128" s="5417"/>
      <c r="EG128" s="5418"/>
      <c r="EH128" s="5419"/>
      <c r="EI128" s="5420"/>
      <c r="EJ128" s="5421"/>
      <c r="EK128" s="5422"/>
      <c r="EL128" s="5423"/>
      <c r="EM128" s="14846"/>
      <c r="EN128" s="14847"/>
      <c r="EO128" s="14848"/>
      <c r="EP128" s="14849"/>
      <c r="EQ128" s="14850"/>
      <c r="ER128" s="14851"/>
      <c r="ES128" s="14852"/>
      <c r="ET128" s="14853"/>
      <c r="EU128" s="14854"/>
      <c r="EV128" s="14855"/>
      <c r="EW128" s="14856"/>
      <c r="EX128" s="5424"/>
      <c r="EY128" s="5425"/>
      <c r="EZ128" s="2199"/>
      <c r="FA128" s="2512"/>
      <c r="FB128" s="2512" t="str">
        <f t="shared" si="2"/>
        <v>Добавить группу потребителей</v>
      </c>
      <c r="FC128" s="2512"/>
      <c r="FD128" s="2512"/>
    </row>
    <row r="129" spans="1:160" s="14857" customFormat="1" ht="21" customHeight="1">
      <c r="A129" s="2502"/>
      <c r="B129" s="2502"/>
      <c r="C129" s="2502"/>
      <c r="D129" s="2502"/>
      <c r="E129" s="16125"/>
      <c r="F129" s="16125" t="s">
        <v>92</v>
      </c>
      <c r="G129" s="16125"/>
      <c r="H129" s="16124"/>
      <c r="I129" s="2502"/>
      <c r="J129" s="2502"/>
      <c r="K129" s="2502"/>
      <c r="L129" s="2503"/>
      <c r="M129" s="2504"/>
      <c r="N129" s="2504"/>
      <c r="O129" s="2193"/>
      <c r="P129" s="2775"/>
      <c r="Q129" s="2776"/>
      <c r="R129" s="2777"/>
      <c r="S129" s="5426"/>
      <c r="T129" s="5427" t="s">
        <v>623</v>
      </c>
      <c r="U129" s="5428"/>
      <c r="V129" s="5429"/>
      <c r="W129" s="5430"/>
      <c r="X129" s="5431"/>
      <c r="Y129" s="5432"/>
      <c r="Z129" s="5433"/>
      <c r="AA129" s="5434"/>
      <c r="AB129" s="5435"/>
      <c r="AC129" s="5436"/>
      <c r="AD129" s="5437"/>
      <c r="AE129" s="5438"/>
      <c r="AF129" s="5439"/>
      <c r="AG129" s="5440"/>
      <c r="AH129" s="5441"/>
      <c r="AI129" s="5442"/>
      <c r="AJ129" s="5443"/>
      <c r="AK129" s="5444"/>
      <c r="AL129" s="5445"/>
      <c r="AM129" s="5446"/>
      <c r="AN129" s="5447"/>
      <c r="AO129" s="5448"/>
      <c r="AP129" s="5449"/>
      <c r="AQ129" s="5450"/>
      <c r="AR129" s="5451"/>
      <c r="AS129" s="5452"/>
      <c r="AT129" s="5453"/>
      <c r="AU129" s="5454"/>
      <c r="AV129" s="5455"/>
      <c r="AW129" s="5456"/>
      <c r="AX129" s="5457"/>
      <c r="AY129" s="5458"/>
      <c r="AZ129" s="5459"/>
      <c r="BA129" s="5460"/>
      <c r="BB129" s="5461"/>
      <c r="BC129" s="5462"/>
      <c r="BD129" s="5463"/>
      <c r="BE129" s="5464"/>
      <c r="BF129" s="5465"/>
      <c r="BG129" s="5466"/>
      <c r="BH129" s="5467"/>
      <c r="BI129" s="5468"/>
      <c r="BJ129" s="5469"/>
      <c r="BK129" s="5470"/>
      <c r="BL129" s="5471"/>
      <c r="BM129" s="5472"/>
      <c r="BN129" s="5473"/>
      <c r="BO129" s="5474"/>
      <c r="BP129" s="5475"/>
      <c r="BQ129" s="5476"/>
      <c r="BR129" s="5477"/>
      <c r="BS129" s="5478"/>
      <c r="BT129" s="5479"/>
      <c r="BU129" s="5480"/>
      <c r="BV129" s="5481"/>
      <c r="BW129" s="5482"/>
      <c r="BX129" s="5483"/>
      <c r="BY129" s="5484"/>
      <c r="BZ129" s="5485"/>
      <c r="CA129" s="5486"/>
      <c r="CB129" s="5487"/>
      <c r="CC129" s="5488"/>
      <c r="CD129" s="5489"/>
      <c r="CE129" s="5490"/>
      <c r="CF129" s="5491"/>
      <c r="CG129" s="5492"/>
      <c r="CH129" s="5493"/>
      <c r="CI129" s="5494"/>
      <c r="CJ129" s="5495"/>
      <c r="CK129" s="5496"/>
      <c r="CL129" s="5497"/>
      <c r="CM129" s="5498"/>
      <c r="CN129" s="5499"/>
      <c r="CO129" s="5500"/>
      <c r="CP129" s="5501"/>
      <c r="CQ129" s="5502"/>
      <c r="CR129" s="5503"/>
      <c r="CS129" s="5504"/>
      <c r="CT129" s="5505"/>
      <c r="CU129" s="5506"/>
      <c r="CV129" s="5507"/>
      <c r="CW129" s="5508"/>
      <c r="CX129" s="5509"/>
      <c r="CY129" s="5510"/>
      <c r="CZ129" s="5511"/>
      <c r="DA129" s="5512"/>
      <c r="DB129" s="5513"/>
      <c r="DC129" s="5514"/>
      <c r="DD129" s="5515"/>
      <c r="DE129" s="5516"/>
      <c r="DF129" s="5517"/>
      <c r="DG129" s="5518"/>
      <c r="DH129" s="5519"/>
      <c r="DI129" s="5520"/>
      <c r="DJ129" s="5521"/>
      <c r="DK129" s="5522"/>
      <c r="DL129" s="5523"/>
      <c r="DM129" s="5524"/>
      <c r="DN129" s="5525"/>
      <c r="DO129" s="5526"/>
      <c r="DP129" s="5527"/>
      <c r="DQ129" s="5528"/>
      <c r="DR129" s="5529"/>
      <c r="DS129" s="5530"/>
      <c r="DT129" s="5531"/>
      <c r="DU129" s="5532"/>
      <c r="DV129" s="5533"/>
      <c r="DW129" s="5534"/>
      <c r="DX129" s="5535"/>
      <c r="DY129" s="5536"/>
      <c r="DZ129" s="5537"/>
      <c r="EA129" s="5538"/>
      <c r="EB129" s="5539"/>
      <c r="EC129" s="5540"/>
      <c r="ED129" s="5541"/>
      <c r="EE129" s="5542"/>
      <c r="EF129" s="5543"/>
      <c r="EG129" s="5544"/>
      <c r="EH129" s="5545"/>
      <c r="EI129" s="5546"/>
      <c r="EJ129" s="5547"/>
      <c r="EK129" s="5548"/>
      <c r="EL129" s="5549"/>
      <c r="EM129" s="14858"/>
      <c r="EN129" s="14859"/>
      <c r="EO129" s="14860"/>
      <c r="EP129" s="14861"/>
      <c r="EQ129" s="14862"/>
      <c r="ER129" s="14863"/>
      <c r="ES129" s="14864"/>
      <c r="ET129" s="14865"/>
      <c r="EU129" s="14866"/>
      <c r="EV129" s="14867"/>
      <c r="EW129" s="14868"/>
      <c r="EX129" s="5550"/>
      <c r="EY129" s="5551"/>
      <c r="EZ129" s="2199"/>
      <c r="FA129" s="2512"/>
      <c r="FB129" s="2512" t="str">
        <f t="shared" si="2"/>
        <v>Добавить наименование признака дифференциации</v>
      </c>
      <c r="FC129" s="2512"/>
      <c r="FD129" s="2512"/>
    </row>
    <row r="130" spans="1:160" s="14869" customFormat="1" ht="23.25" customHeight="1">
      <c r="A130" s="2502"/>
      <c r="B130" s="2502"/>
      <c r="C130" s="2502" t="s">
        <v>317</v>
      </c>
      <c r="D130" s="2502"/>
      <c r="E130" s="16125"/>
      <c r="F130" s="16125"/>
      <c r="G130" s="16124" t="s">
        <v>102</v>
      </c>
      <c r="H130" s="2502"/>
      <c r="I130" s="2502"/>
      <c r="J130" s="2502"/>
      <c r="K130" s="2502"/>
      <c r="L130" s="2503"/>
      <c r="M130" s="2504"/>
      <c r="N130" s="2504"/>
      <c r="O130" s="2504"/>
      <c r="P130" s="2505"/>
      <c r="Q130" s="2506"/>
      <c r="R130" s="2507"/>
      <c r="S130" s="2508" t="str">
        <f>INDEX(PT_DIFFERENTIATION_NUM_CS,MATCH(C130,PT_DIFFERENTIATION_CS_ID,0))</f>
        <v>1.8.2</v>
      </c>
      <c r="T130" s="2509" t="s">
        <v>665</v>
      </c>
      <c r="U130" s="2510"/>
      <c r="V130" s="16110"/>
      <c r="W130" s="16111"/>
      <c r="X130" s="16111"/>
      <c r="Y130" s="16111"/>
      <c r="Z130" s="16111"/>
      <c r="AA130" s="16111"/>
      <c r="AB130" s="16111"/>
      <c r="AC130" s="16111"/>
      <c r="AD130" s="16111"/>
      <c r="AE130" s="16111"/>
      <c r="AF130" s="16112"/>
      <c r="AG130" s="16110" t="str">
        <f>INDEX(PT_DIFFERENTIATION_CS,MATCH(C130,PT_DIFFERENTIATION_CS_ID,0))</f>
        <v>Городской округ закрытое административно-территориальное образование город Североморск Мурманской области (ул. Сафонова 1А, ул. Северная Застава 40, ул. Кирова 14, потребители, присоединенные к сетям ФГБУ "ЦЖКУ" МО РФ по ул. Гвардейская 1)</v>
      </c>
      <c r="AH130" s="16111"/>
      <c r="AI130" s="16111"/>
      <c r="AJ130" s="16111"/>
      <c r="AK130" s="16111"/>
      <c r="AL130" s="16111"/>
      <c r="AM130" s="16111"/>
      <c r="AN130" s="16111"/>
      <c r="AO130" s="16111"/>
      <c r="AP130" s="16111"/>
      <c r="AQ130" s="16111"/>
      <c r="AR130" s="16110"/>
      <c r="AS130" s="16111"/>
      <c r="AT130" s="16111"/>
      <c r="AU130" s="16111"/>
      <c r="AV130" s="16111"/>
      <c r="AW130" s="16111"/>
      <c r="AX130" s="16111"/>
      <c r="AY130" s="16111"/>
      <c r="AZ130" s="16111"/>
      <c r="BA130" s="16111"/>
      <c r="BB130" s="16112"/>
      <c r="BC130" s="16110"/>
      <c r="BD130" s="16111"/>
      <c r="BE130" s="16111"/>
      <c r="BF130" s="16111"/>
      <c r="BG130" s="16111"/>
      <c r="BH130" s="16111"/>
      <c r="BI130" s="16111"/>
      <c r="BJ130" s="16111"/>
      <c r="BK130" s="16111"/>
      <c r="BL130" s="16111"/>
      <c r="BM130" s="16112"/>
      <c r="BN130" s="16110"/>
      <c r="BO130" s="16111"/>
      <c r="BP130" s="16111"/>
      <c r="BQ130" s="16111"/>
      <c r="BR130" s="16111"/>
      <c r="BS130" s="16111"/>
      <c r="BT130" s="16111"/>
      <c r="BU130" s="16111"/>
      <c r="BV130" s="16111"/>
      <c r="BW130" s="16111"/>
      <c r="BX130" s="16112"/>
      <c r="BY130" s="16110"/>
      <c r="BZ130" s="16111"/>
      <c r="CA130" s="16111"/>
      <c r="CB130" s="16111"/>
      <c r="CC130" s="16111"/>
      <c r="CD130" s="16111"/>
      <c r="CE130" s="16111"/>
      <c r="CF130" s="16111"/>
      <c r="CG130" s="16111"/>
      <c r="CH130" s="16111"/>
      <c r="CI130" s="16112"/>
      <c r="CJ130" s="16110"/>
      <c r="CK130" s="16111"/>
      <c r="CL130" s="16111"/>
      <c r="CM130" s="16111"/>
      <c r="CN130" s="16111"/>
      <c r="CO130" s="16111"/>
      <c r="CP130" s="16111"/>
      <c r="CQ130" s="16111"/>
      <c r="CR130" s="16111"/>
      <c r="CS130" s="16111"/>
      <c r="CT130" s="16112"/>
      <c r="CU130" s="16110"/>
      <c r="CV130" s="16111"/>
      <c r="CW130" s="16111"/>
      <c r="CX130" s="16111"/>
      <c r="CY130" s="16111"/>
      <c r="CZ130" s="16111"/>
      <c r="DA130" s="16111"/>
      <c r="DB130" s="16111"/>
      <c r="DC130" s="16111"/>
      <c r="DD130" s="16111"/>
      <c r="DE130" s="16112"/>
      <c r="DF130" s="16110"/>
      <c r="DG130" s="16111"/>
      <c r="DH130" s="16111"/>
      <c r="DI130" s="16111"/>
      <c r="DJ130" s="16111"/>
      <c r="DK130" s="16111"/>
      <c r="DL130" s="16111"/>
      <c r="DM130" s="16111"/>
      <c r="DN130" s="16111"/>
      <c r="DO130" s="16111"/>
      <c r="DP130" s="16112"/>
      <c r="DQ130" s="16110"/>
      <c r="DR130" s="16111"/>
      <c r="DS130" s="16111"/>
      <c r="DT130" s="16111"/>
      <c r="DU130" s="16111"/>
      <c r="DV130" s="16111"/>
      <c r="DW130" s="16111"/>
      <c r="DX130" s="16111"/>
      <c r="DY130" s="16111"/>
      <c r="DZ130" s="16111"/>
      <c r="EA130" s="16112"/>
      <c r="EB130" s="16110"/>
      <c r="EC130" s="16111"/>
      <c r="ED130" s="16111"/>
      <c r="EE130" s="16111"/>
      <c r="EF130" s="16111"/>
      <c r="EG130" s="16111"/>
      <c r="EH130" s="16111"/>
      <c r="EI130" s="16111"/>
      <c r="EJ130" s="16111"/>
      <c r="EK130" s="16111"/>
      <c r="EL130" s="16112"/>
      <c r="EM130" s="16110"/>
      <c r="EN130" s="16111"/>
      <c r="EO130" s="16111"/>
      <c r="EP130" s="16111"/>
      <c r="EQ130" s="16111"/>
      <c r="ER130" s="16111"/>
      <c r="ES130" s="16111"/>
      <c r="ET130" s="16111"/>
      <c r="EU130" s="16111"/>
      <c r="EV130" s="16111"/>
      <c r="EW130" s="16112"/>
      <c r="EX130" s="16112"/>
      <c r="EY130" s="2511" t="s">
        <v>666</v>
      </c>
      <c r="EZ130" s="2199"/>
      <c r="FA130" s="2512"/>
      <c r="FB130" s="2512" t="str">
        <f t="shared" si="2"/>
        <v>Наименование централизованной системы горячего водоснабжения</v>
      </c>
      <c r="FC130" s="2512"/>
      <c r="FD130" s="2512"/>
    </row>
    <row r="131" spans="1:160" s="14870" customFormat="1" ht="23.25" customHeight="1">
      <c r="A131" s="2502"/>
      <c r="B131" s="2502"/>
      <c r="C131" s="2502"/>
      <c r="D131" s="2502"/>
      <c r="E131" s="16125"/>
      <c r="F131" s="16125"/>
      <c r="G131" s="16125">
        <v>1</v>
      </c>
      <c r="H131" s="16125"/>
      <c r="I131" s="16122" t="str">
        <f>S130&amp;".1"</f>
        <v>1.8.2.1</v>
      </c>
      <c r="J131" s="2502"/>
      <c r="K131" s="2502"/>
      <c r="L131" s="2503"/>
      <c r="M131" s="2513"/>
      <c r="N131" s="2513"/>
      <c r="O131" s="2513"/>
      <c r="P131" s="16123">
        <v>1</v>
      </c>
      <c r="Q131" s="2514"/>
      <c r="R131" s="2515"/>
      <c r="S131" s="2508" t="str">
        <f>$I131</f>
        <v>1.8.2.1</v>
      </c>
      <c r="T131" s="2516" t="s">
        <v>618</v>
      </c>
      <c r="U131" s="2510"/>
      <c r="V131" s="16183"/>
      <c r="W131" s="16184"/>
      <c r="X131" s="16184"/>
      <c r="Y131" s="16184"/>
      <c r="Z131" s="16184"/>
      <c r="AA131" s="16184"/>
      <c r="AB131" s="16184"/>
      <c r="AC131" s="16184"/>
      <c r="AD131" s="16184"/>
      <c r="AE131" s="16184"/>
      <c r="AF131" s="16185"/>
      <c r="AG131" s="16186"/>
      <c r="AH131" s="16187"/>
      <c r="AI131" s="16187"/>
      <c r="AJ131" s="16187"/>
      <c r="AK131" s="16187"/>
      <c r="AL131" s="16187"/>
      <c r="AM131" s="16187"/>
      <c r="AN131" s="16187"/>
      <c r="AO131" s="16187"/>
      <c r="AP131" s="16187"/>
      <c r="AQ131" s="16187"/>
      <c r="AR131" s="16183"/>
      <c r="AS131" s="16184"/>
      <c r="AT131" s="16184"/>
      <c r="AU131" s="16184"/>
      <c r="AV131" s="16184"/>
      <c r="AW131" s="16184"/>
      <c r="AX131" s="16184"/>
      <c r="AY131" s="16184"/>
      <c r="AZ131" s="16184"/>
      <c r="BA131" s="16184"/>
      <c r="BB131" s="16185"/>
      <c r="BC131" s="16183"/>
      <c r="BD131" s="16184"/>
      <c r="BE131" s="16184"/>
      <c r="BF131" s="16184"/>
      <c r="BG131" s="16184"/>
      <c r="BH131" s="16184"/>
      <c r="BI131" s="16184"/>
      <c r="BJ131" s="16184"/>
      <c r="BK131" s="16184"/>
      <c r="BL131" s="16184"/>
      <c r="BM131" s="16185"/>
      <c r="BN131" s="16183"/>
      <c r="BO131" s="16184"/>
      <c r="BP131" s="16184"/>
      <c r="BQ131" s="16184"/>
      <c r="BR131" s="16184"/>
      <c r="BS131" s="16184"/>
      <c r="BT131" s="16184"/>
      <c r="BU131" s="16184"/>
      <c r="BV131" s="16184"/>
      <c r="BW131" s="16184"/>
      <c r="BX131" s="16185"/>
      <c r="BY131" s="16183"/>
      <c r="BZ131" s="16184"/>
      <c r="CA131" s="16184"/>
      <c r="CB131" s="16184"/>
      <c r="CC131" s="16184"/>
      <c r="CD131" s="16184"/>
      <c r="CE131" s="16184"/>
      <c r="CF131" s="16184"/>
      <c r="CG131" s="16184"/>
      <c r="CH131" s="16184"/>
      <c r="CI131" s="16185"/>
      <c r="CJ131" s="16183"/>
      <c r="CK131" s="16184"/>
      <c r="CL131" s="16184"/>
      <c r="CM131" s="16184"/>
      <c r="CN131" s="16184"/>
      <c r="CO131" s="16184"/>
      <c r="CP131" s="16184"/>
      <c r="CQ131" s="16184"/>
      <c r="CR131" s="16184"/>
      <c r="CS131" s="16184"/>
      <c r="CT131" s="16185"/>
      <c r="CU131" s="16183"/>
      <c r="CV131" s="16184"/>
      <c r="CW131" s="16184"/>
      <c r="CX131" s="16184"/>
      <c r="CY131" s="16184"/>
      <c r="CZ131" s="16184"/>
      <c r="DA131" s="16184"/>
      <c r="DB131" s="16184"/>
      <c r="DC131" s="16184"/>
      <c r="DD131" s="16184"/>
      <c r="DE131" s="16185"/>
      <c r="DF131" s="16183"/>
      <c r="DG131" s="16184"/>
      <c r="DH131" s="16184"/>
      <c r="DI131" s="16184"/>
      <c r="DJ131" s="16184"/>
      <c r="DK131" s="16184"/>
      <c r="DL131" s="16184"/>
      <c r="DM131" s="16184"/>
      <c r="DN131" s="16184"/>
      <c r="DO131" s="16184"/>
      <c r="DP131" s="16185"/>
      <c r="DQ131" s="16183"/>
      <c r="DR131" s="16184"/>
      <c r="DS131" s="16184"/>
      <c r="DT131" s="16184"/>
      <c r="DU131" s="16184"/>
      <c r="DV131" s="16184"/>
      <c r="DW131" s="16184"/>
      <c r="DX131" s="16184"/>
      <c r="DY131" s="16184"/>
      <c r="DZ131" s="16184"/>
      <c r="EA131" s="16185"/>
      <c r="EB131" s="16183"/>
      <c r="EC131" s="16184"/>
      <c r="ED131" s="16184"/>
      <c r="EE131" s="16184"/>
      <c r="EF131" s="16184"/>
      <c r="EG131" s="16184"/>
      <c r="EH131" s="16184"/>
      <c r="EI131" s="16184"/>
      <c r="EJ131" s="16184"/>
      <c r="EK131" s="16184"/>
      <c r="EL131" s="16185"/>
      <c r="EM131" s="16183"/>
      <c r="EN131" s="16184"/>
      <c r="EO131" s="16184"/>
      <c r="EP131" s="16184"/>
      <c r="EQ131" s="16184"/>
      <c r="ER131" s="16184"/>
      <c r="ES131" s="16184"/>
      <c r="ET131" s="16184"/>
      <c r="EU131" s="16184"/>
      <c r="EV131" s="16184"/>
      <c r="EW131" s="16185"/>
      <c r="EX131" s="16188"/>
      <c r="EY131" s="2511" t="s">
        <v>619</v>
      </c>
      <c r="EZ131" s="2199"/>
      <c r="FA131" s="2512"/>
      <c r="FB131" s="2512" t="str">
        <f t="shared" si="2"/>
        <v>Наименование признака дифференциации</v>
      </c>
      <c r="FC131" s="2512"/>
      <c r="FD131" s="2512"/>
    </row>
    <row r="132" spans="1:160" s="14871" customFormat="1" ht="23.25" customHeight="1">
      <c r="A132" s="2502"/>
      <c r="B132" s="2502"/>
      <c r="C132" s="2502"/>
      <c r="D132" s="2502"/>
      <c r="E132" s="16125"/>
      <c r="F132" s="16125"/>
      <c r="G132" s="16125">
        <v>1</v>
      </c>
      <c r="H132" s="16125"/>
      <c r="I132" s="16145"/>
      <c r="J132" s="16122" t="str">
        <f>I131&amp;".1"</f>
        <v>1.8.2.1.1</v>
      </c>
      <c r="K132" s="2502"/>
      <c r="L132" s="2503" t="s">
        <v>543</v>
      </c>
      <c r="M132" s="2513"/>
      <c r="N132" s="2513"/>
      <c r="O132" s="2513"/>
      <c r="P132" s="16123"/>
      <c r="Q132" s="16123">
        <v>1</v>
      </c>
      <c r="R132" s="2517"/>
      <c r="S132" s="2508" t="str">
        <f>$J132</f>
        <v>1.8.2.1.1</v>
      </c>
      <c r="T132" s="2518" t="s">
        <v>544</v>
      </c>
      <c r="U132" s="2510"/>
      <c r="V132" s="16113"/>
      <c r="W132" s="16114"/>
      <c r="X132" s="16114"/>
      <c r="Y132" s="16114"/>
      <c r="Z132" s="16114"/>
      <c r="AA132" s="16114"/>
      <c r="AB132" s="16114"/>
      <c r="AC132" s="16114"/>
      <c r="AD132" s="16114"/>
      <c r="AE132" s="16114"/>
      <c r="AF132" s="16115"/>
      <c r="AG132" s="16113" t="s">
        <v>678</v>
      </c>
      <c r="AH132" s="16114"/>
      <c r="AI132" s="16114"/>
      <c r="AJ132" s="16114"/>
      <c r="AK132" s="16114"/>
      <c r="AL132" s="16114"/>
      <c r="AM132" s="16114"/>
      <c r="AN132" s="16114"/>
      <c r="AO132" s="16114"/>
      <c r="AP132" s="16114"/>
      <c r="AQ132" s="16114"/>
      <c r="AR132" s="16113"/>
      <c r="AS132" s="16114"/>
      <c r="AT132" s="16114"/>
      <c r="AU132" s="16114"/>
      <c r="AV132" s="16114"/>
      <c r="AW132" s="16114"/>
      <c r="AX132" s="16114"/>
      <c r="AY132" s="16114"/>
      <c r="AZ132" s="16114"/>
      <c r="BA132" s="16114"/>
      <c r="BB132" s="16115"/>
      <c r="BC132" s="16113"/>
      <c r="BD132" s="16114"/>
      <c r="BE132" s="16114"/>
      <c r="BF132" s="16114"/>
      <c r="BG132" s="16114"/>
      <c r="BH132" s="16114"/>
      <c r="BI132" s="16114"/>
      <c r="BJ132" s="16114"/>
      <c r="BK132" s="16114"/>
      <c r="BL132" s="16114"/>
      <c r="BM132" s="16115"/>
      <c r="BN132" s="16113"/>
      <c r="BO132" s="16114"/>
      <c r="BP132" s="16114"/>
      <c r="BQ132" s="16114"/>
      <c r="BR132" s="16114"/>
      <c r="BS132" s="16114"/>
      <c r="BT132" s="16114"/>
      <c r="BU132" s="16114"/>
      <c r="BV132" s="16114"/>
      <c r="BW132" s="16114"/>
      <c r="BX132" s="16115"/>
      <c r="BY132" s="16113"/>
      <c r="BZ132" s="16114"/>
      <c r="CA132" s="16114"/>
      <c r="CB132" s="16114"/>
      <c r="CC132" s="16114"/>
      <c r="CD132" s="16114"/>
      <c r="CE132" s="16114"/>
      <c r="CF132" s="16114"/>
      <c r="CG132" s="16114"/>
      <c r="CH132" s="16114"/>
      <c r="CI132" s="16115"/>
      <c r="CJ132" s="16113"/>
      <c r="CK132" s="16114"/>
      <c r="CL132" s="16114"/>
      <c r="CM132" s="16114"/>
      <c r="CN132" s="16114"/>
      <c r="CO132" s="16114"/>
      <c r="CP132" s="16114"/>
      <c r="CQ132" s="16114"/>
      <c r="CR132" s="16114"/>
      <c r="CS132" s="16114"/>
      <c r="CT132" s="16115"/>
      <c r="CU132" s="16113"/>
      <c r="CV132" s="16114"/>
      <c r="CW132" s="16114"/>
      <c r="CX132" s="16114"/>
      <c r="CY132" s="16114"/>
      <c r="CZ132" s="16114"/>
      <c r="DA132" s="16114"/>
      <c r="DB132" s="16114"/>
      <c r="DC132" s="16114"/>
      <c r="DD132" s="16114"/>
      <c r="DE132" s="16115"/>
      <c r="DF132" s="16113"/>
      <c r="DG132" s="16114"/>
      <c r="DH132" s="16114"/>
      <c r="DI132" s="16114"/>
      <c r="DJ132" s="16114"/>
      <c r="DK132" s="16114"/>
      <c r="DL132" s="16114"/>
      <c r="DM132" s="16114"/>
      <c r="DN132" s="16114"/>
      <c r="DO132" s="16114"/>
      <c r="DP132" s="16115"/>
      <c r="DQ132" s="16113"/>
      <c r="DR132" s="16114"/>
      <c r="DS132" s="16114"/>
      <c r="DT132" s="16114"/>
      <c r="DU132" s="16114"/>
      <c r="DV132" s="16114"/>
      <c r="DW132" s="16114"/>
      <c r="DX132" s="16114"/>
      <c r="DY132" s="16114"/>
      <c r="DZ132" s="16114"/>
      <c r="EA132" s="16115"/>
      <c r="EB132" s="16113"/>
      <c r="EC132" s="16114"/>
      <c r="ED132" s="16114"/>
      <c r="EE132" s="16114"/>
      <c r="EF132" s="16114"/>
      <c r="EG132" s="16114"/>
      <c r="EH132" s="16114"/>
      <c r="EI132" s="16114"/>
      <c r="EJ132" s="16114"/>
      <c r="EK132" s="16114"/>
      <c r="EL132" s="16115"/>
      <c r="EM132" s="16113"/>
      <c r="EN132" s="16114"/>
      <c r="EO132" s="16114"/>
      <c r="EP132" s="16114"/>
      <c r="EQ132" s="16114"/>
      <c r="ER132" s="16114"/>
      <c r="ES132" s="16114"/>
      <c r="ET132" s="16114"/>
      <c r="EU132" s="16114"/>
      <c r="EV132" s="16114"/>
      <c r="EW132" s="16115"/>
      <c r="EX132" s="16115"/>
      <c r="EY132" s="2519" t="s">
        <v>620</v>
      </c>
      <c r="EZ132" s="2199"/>
      <c r="FA132" s="2512"/>
      <c r="FB132" s="2512" t="str">
        <f t="shared" si="2"/>
        <v>Группа потребителей</v>
      </c>
      <c r="FC132" s="2512"/>
      <c r="FD132" s="2512"/>
    </row>
    <row r="133" spans="1:160" s="14872" customFormat="1" ht="23.25" customHeight="1">
      <c r="A133" s="2502"/>
      <c r="B133" s="2502"/>
      <c r="C133" s="2502"/>
      <c r="D133" s="2502"/>
      <c r="E133" s="16125"/>
      <c r="F133" s="16125"/>
      <c r="G133" s="16125">
        <v>1</v>
      </c>
      <c r="H133" s="16125"/>
      <c r="I133" s="16145"/>
      <c r="J133" s="16145"/>
      <c r="K133" s="16122" t="str">
        <f>J132&amp;".1"</f>
        <v>1.8.2.1.1.1</v>
      </c>
      <c r="L133" s="2503"/>
      <c r="M133" s="2513"/>
      <c r="N133" s="2513"/>
      <c r="O133" s="2513"/>
      <c r="P133" s="16123"/>
      <c r="Q133" s="16123"/>
      <c r="R133" s="2517">
        <v>1</v>
      </c>
      <c r="S133" s="2508" t="str">
        <f>$K133</f>
        <v>1.8.2.1.1.1</v>
      </c>
      <c r="T133" s="2520"/>
      <c r="U133" s="2510"/>
      <c r="V133" s="1893"/>
      <c r="W133" s="1893"/>
      <c r="X133" s="1893"/>
      <c r="Y133" s="1893"/>
      <c r="Z133" s="1893"/>
      <c r="AA133" s="1893"/>
      <c r="AB133" s="1893"/>
      <c r="AC133" s="16127"/>
      <c r="AD133" s="15973" t="s">
        <v>66</v>
      </c>
      <c r="AE133" s="16127"/>
      <c r="AF133" s="15973" t="s">
        <v>66</v>
      </c>
      <c r="AG133" s="1893">
        <v>24.42</v>
      </c>
      <c r="AH133" s="1893"/>
      <c r="AI133" s="1893"/>
      <c r="AJ133" s="1893"/>
      <c r="AK133" s="1893">
        <v>2519.6</v>
      </c>
      <c r="AL133" s="1893"/>
      <c r="AM133" s="1893"/>
      <c r="AN133" s="16127">
        <v>45292</v>
      </c>
      <c r="AO133" s="15973" t="s">
        <v>66</v>
      </c>
      <c r="AP133" s="16146">
        <v>45378</v>
      </c>
      <c r="AQ133" s="15973" t="s">
        <v>66</v>
      </c>
      <c r="AR133" s="1893">
        <v>24.42</v>
      </c>
      <c r="AS133" s="1893"/>
      <c r="AT133" s="1893"/>
      <c r="AU133" s="1893"/>
      <c r="AV133" s="1893">
        <v>2519.6</v>
      </c>
      <c r="AW133" s="1893"/>
      <c r="AX133" s="1893"/>
      <c r="AY133" s="16127">
        <v>45379</v>
      </c>
      <c r="AZ133" s="15973" t="s">
        <v>66</v>
      </c>
      <c r="BA133" s="16127">
        <v>45473</v>
      </c>
      <c r="BB133" s="15973" t="s">
        <v>66</v>
      </c>
      <c r="BC133" s="1893">
        <v>28.08</v>
      </c>
      <c r="BD133" s="1893"/>
      <c r="BE133" s="1893"/>
      <c r="BF133" s="1893"/>
      <c r="BG133" s="1893">
        <v>2829.51</v>
      </c>
      <c r="BH133" s="1893"/>
      <c r="BI133" s="1893"/>
      <c r="BJ133" s="16127">
        <v>45474</v>
      </c>
      <c r="BK133" s="15973" t="s">
        <v>66</v>
      </c>
      <c r="BL133" s="16127">
        <v>45657</v>
      </c>
      <c r="BM133" s="15973" t="s">
        <v>66</v>
      </c>
      <c r="BN133" s="1893">
        <v>25.57</v>
      </c>
      <c r="BO133" s="1893"/>
      <c r="BP133" s="1893"/>
      <c r="BQ133" s="1893"/>
      <c r="BR133" s="1893">
        <v>2829.51</v>
      </c>
      <c r="BS133" s="1893"/>
      <c r="BT133" s="1893"/>
      <c r="BU133" s="16127">
        <v>45658</v>
      </c>
      <c r="BV133" s="15973" t="s">
        <v>66</v>
      </c>
      <c r="BW133" s="16127">
        <v>45838</v>
      </c>
      <c r="BX133" s="15973" t="s">
        <v>66</v>
      </c>
      <c r="BY133" s="1893">
        <v>26.59</v>
      </c>
      <c r="BZ133" s="1893"/>
      <c r="CA133" s="1893"/>
      <c r="CB133" s="1893"/>
      <c r="CC133" s="1893">
        <v>2948.35</v>
      </c>
      <c r="CD133" s="1893"/>
      <c r="CE133" s="1893"/>
      <c r="CF133" s="16127">
        <v>45839</v>
      </c>
      <c r="CG133" s="15973" t="s">
        <v>66</v>
      </c>
      <c r="CH133" s="16127">
        <v>46022</v>
      </c>
      <c r="CI133" s="15973" t="s">
        <v>66</v>
      </c>
      <c r="CJ133" s="1893">
        <v>26.59</v>
      </c>
      <c r="CK133" s="1893"/>
      <c r="CL133" s="1893"/>
      <c r="CM133" s="1893"/>
      <c r="CN133" s="1893">
        <v>2948.35</v>
      </c>
      <c r="CO133" s="1893"/>
      <c r="CP133" s="1893"/>
      <c r="CQ133" s="16127">
        <v>46023</v>
      </c>
      <c r="CR133" s="15973" t="s">
        <v>66</v>
      </c>
      <c r="CS133" s="16127">
        <v>46203</v>
      </c>
      <c r="CT133" s="15973" t="s">
        <v>66</v>
      </c>
      <c r="CU133" s="1893">
        <v>27.66</v>
      </c>
      <c r="CV133" s="1893"/>
      <c r="CW133" s="1893"/>
      <c r="CX133" s="1893"/>
      <c r="CY133" s="1893">
        <v>3066.28</v>
      </c>
      <c r="CZ133" s="1893"/>
      <c r="DA133" s="1893"/>
      <c r="DB133" s="16127">
        <v>46204</v>
      </c>
      <c r="DC133" s="15973" t="s">
        <v>66</v>
      </c>
      <c r="DD133" s="16127">
        <v>46387</v>
      </c>
      <c r="DE133" s="15973" t="s">
        <v>66</v>
      </c>
      <c r="DF133" s="1893">
        <v>27.66</v>
      </c>
      <c r="DG133" s="1893"/>
      <c r="DH133" s="1893"/>
      <c r="DI133" s="1893"/>
      <c r="DJ133" s="1893">
        <v>3066.28</v>
      </c>
      <c r="DK133" s="1893"/>
      <c r="DL133" s="1893"/>
      <c r="DM133" s="16127">
        <v>46388</v>
      </c>
      <c r="DN133" s="15973" t="s">
        <v>66</v>
      </c>
      <c r="DO133" s="16127">
        <v>46568</v>
      </c>
      <c r="DP133" s="15973" t="s">
        <v>66</v>
      </c>
      <c r="DQ133" s="1893">
        <v>28.76</v>
      </c>
      <c r="DR133" s="1893"/>
      <c r="DS133" s="1893"/>
      <c r="DT133" s="1893"/>
      <c r="DU133" s="1893">
        <v>3188.93</v>
      </c>
      <c r="DV133" s="1893"/>
      <c r="DW133" s="1893"/>
      <c r="DX133" s="16127">
        <v>46569</v>
      </c>
      <c r="DY133" s="15973" t="s">
        <v>66</v>
      </c>
      <c r="DZ133" s="16127">
        <v>46752</v>
      </c>
      <c r="EA133" s="15973" t="s">
        <v>66</v>
      </c>
      <c r="EB133" s="1893">
        <v>28.76</v>
      </c>
      <c r="EC133" s="1893"/>
      <c r="ED133" s="1893"/>
      <c r="EE133" s="1893"/>
      <c r="EF133" s="1893">
        <v>3188.93</v>
      </c>
      <c r="EG133" s="1893"/>
      <c r="EH133" s="1893"/>
      <c r="EI133" s="16127">
        <v>46753</v>
      </c>
      <c r="EJ133" s="15973" t="s">
        <v>66</v>
      </c>
      <c r="EK133" s="16127">
        <v>46934</v>
      </c>
      <c r="EL133" s="15973" t="s">
        <v>66</v>
      </c>
      <c r="EM133" s="14448">
        <v>29.91</v>
      </c>
      <c r="EN133" s="14448"/>
      <c r="EO133" s="14448"/>
      <c r="EP133" s="14448"/>
      <c r="EQ133" s="14448">
        <v>3316.49</v>
      </c>
      <c r="ER133" s="14448"/>
      <c r="ES133" s="14448"/>
      <c r="ET133" s="16127">
        <v>46935</v>
      </c>
      <c r="EU133" s="15973" t="s">
        <v>66</v>
      </c>
      <c r="EV133" s="16127">
        <v>47118</v>
      </c>
      <c r="EW133" s="15973" t="s">
        <v>66</v>
      </c>
      <c r="EX133" s="2521"/>
      <c r="EY133"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33" s="2199" t="e">
        <f ca="1">STRCHECKDATE(V134:EX134)</f>
        <v>#NAME?</v>
      </c>
      <c r="FA133" s="2512"/>
      <c r="FB133" s="2512" t="str">
        <f t="shared" si="2"/>
        <v/>
      </c>
      <c r="FC133" s="2512"/>
      <c r="FD133" s="2512"/>
    </row>
    <row r="134" spans="1:160" s="14873" customFormat="1" ht="14.25" customHeight="1">
      <c r="A134" s="2502"/>
      <c r="B134" s="2502"/>
      <c r="C134" s="2502"/>
      <c r="D134" s="2502"/>
      <c r="E134" s="16125"/>
      <c r="F134" s="16125"/>
      <c r="G134" s="16125">
        <v>1</v>
      </c>
      <c r="H134" s="16125"/>
      <c r="I134" s="16145"/>
      <c r="J134" s="16145"/>
      <c r="K134" s="16122"/>
      <c r="L134" s="2503"/>
      <c r="M134" s="2513"/>
      <c r="N134" s="2513"/>
      <c r="O134" s="2513"/>
      <c r="P134" s="16123"/>
      <c r="Q134" s="16123"/>
      <c r="R134" s="2517"/>
      <c r="S134" s="2522"/>
      <c r="T134" s="2510"/>
      <c r="U134" s="2510"/>
      <c r="V134" s="1894"/>
      <c r="W134" s="1894"/>
      <c r="X134" s="1894"/>
      <c r="Y134" s="1894"/>
      <c r="Z134" s="1894"/>
      <c r="AA134" s="1894"/>
      <c r="AB134" s="1894"/>
      <c r="AC134" s="16128"/>
      <c r="AD134" s="15973"/>
      <c r="AE134" s="16128"/>
      <c r="AF134" s="15973"/>
      <c r="AG134" s="1894"/>
      <c r="AH134" s="1894"/>
      <c r="AI134" s="1894"/>
      <c r="AJ134" s="1894"/>
      <c r="AK134" s="1894"/>
      <c r="AL134" s="1894"/>
      <c r="AM134" s="1894"/>
      <c r="AN134" s="16128"/>
      <c r="AO134" s="15973"/>
      <c r="AP134" s="16147"/>
      <c r="AQ134" s="15973"/>
      <c r="AR134" s="1894"/>
      <c r="AS134" s="1894"/>
      <c r="AT134" s="1894"/>
      <c r="AU134" s="1894"/>
      <c r="AV134" s="1894"/>
      <c r="AW134" s="1894"/>
      <c r="AX134" s="1894"/>
      <c r="AY134" s="16128"/>
      <c r="AZ134" s="15973"/>
      <c r="BA134" s="16128"/>
      <c r="BB134" s="15973"/>
      <c r="BC134" s="1894"/>
      <c r="BD134" s="1894"/>
      <c r="BE134" s="1894"/>
      <c r="BF134" s="1894"/>
      <c r="BG134" s="1894"/>
      <c r="BH134" s="1894"/>
      <c r="BI134" s="1894"/>
      <c r="BJ134" s="16128"/>
      <c r="BK134" s="15973"/>
      <c r="BL134" s="16128"/>
      <c r="BM134" s="15973"/>
      <c r="BN134" s="1894"/>
      <c r="BO134" s="1894"/>
      <c r="BP134" s="1894"/>
      <c r="BQ134" s="1894"/>
      <c r="BR134" s="1894"/>
      <c r="BS134" s="1894"/>
      <c r="BT134" s="1894"/>
      <c r="BU134" s="16128"/>
      <c r="BV134" s="15973"/>
      <c r="BW134" s="16128"/>
      <c r="BX134" s="15973"/>
      <c r="BY134" s="1894"/>
      <c r="BZ134" s="1894"/>
      <c r="CA134" s="1894"/>
      <c r="CB134" s="1894"/>
      <c r="CC134" s="1894"/>
      <c r="CD134" s="1894"/>
      <c r="CE134" s="1894"/>
      <c r="CF134" s="16128"/>
      <c r="CG134" s="15973"/>
      <c r="CH134" s="16128"/>
      <c r="CI134" s="15973"/>
      <c r="CJ134" s="1894"/>
      <c r="CK134" s="1894"/>
      <c r="CL134" s="1894"/>
      <c r="CM134" s="1894"/>
      <c r="CN134" s="1894"/>
      <c r="CO134" s="1894"/>
      <c r="CP134" s="1894"/>
      <c r="CQ134" s="16128"/>
      <c r="CR134" s="15973"/>
      <c r="CS134" s="16128"/>
      <c r="CT134" s="15973"/>
      <c r="CU134" s="1894"/>
      <c r="CV134" s="1894"/>
      <c r="CW134" s="1894"/>
      <c r="CX134" s="1894"/>
      <c r="CY134" s="1894"/>
      <c r="CZ134" s="1894"/>
      <c r="DA134" s="1894"/>
      <c r="DB134" s="16128"/>
      <c r="DC134" s="15973"/>
      <c r="DD134" s="16128"/>
      <c r="DE134" s="15973"/>
      <c r="DF134" s="1894"/>
      <c r="DG134" s="1894"/>
      <c r="DH134" s="1894"/>
      <c r="DI134" s="1894"/>
      <c r="DJ134" s="1894"/>
      <c r="DK134" s="1894"/>
      <c r="DL134" s="1894"/>
      <c r="DM134" s="16128"/>
      <c r="DN134" s="15973"/>
      <c r="DO134" s="16128"/>
      <c r="DP134" s="15973"/>
      <c r="DQ134" s="1894"/>
      <c r="DR134" s="1894"/>
      <c r="DS134" s="1894"/>
      <c r="DT134" s="1894"/>
      <c r="DU134" s="1894"/>
      <c r="DV134" s="1894"/>
      <c r="DW134" s="1894"/>
      <c r="DX134" s="16128"/>
      <c r="DY134" s="15973"/>
      <c r="DZ134" s="16128"/>
      <c r="EA134" s="15973"/>
      <c r="EB134" s="1894"/>
      <c r="EC134" s="1894"/>
      <c r="ED134" s="1894"/>
      <c r="EE134" s="1894"/>
      <c r="EF134" s="1894"/>
      <c r="EG134" s="1894"/>
      <c r="EH134" s="1894"/>
      <c r="EI134" s="16128"/>
      <c r="EJ134" s="15973"/>
      <c r="EK134" s="16128"/>
      <c r="EL134" s="15973"/>
      <c r="EM134" s="14449"/>
      <c r="EN134" s="14449"/>
      <c r="EO134" s="14449"/>
      <c r="EP134" s="14449"/>
      <c r="EQ134" s="14449"/>
      <c r="ER134" s="14449"/>
      <c r="ES134" s="14449"/>
      <c r="ET134" s="16128"/>
      <c r="EU134" s="15973"/>
      <c r="EV134" s="16128"/>
      <c r="EW134" s="15973"/>
      <c r="EX134" s="2523"/>
      <c r="EY134" s="16182"/>
      <c r="EZ134" s="2199"/>
      <c r="FA134" s="2512"/>
      <c r="FB134" s="2512" t="str">
        <f t="shared" si="2"/>
        <v/>
      </c>
      <c r="FC134" s="2512"/>
      <c r="FD134" s="2512"/>
    </row>
    <row r="135" spans="1:160" s="14874" customFormat="1" ht="21" customHeight="1">
      <c r="A135" s="2502"/>
      <c r="B135" s="2502"/>
      <c r="C135" s="2502"/>
      <c r="D135" s="2502"/>
      <c r="E135" s="16125"/>
      <c r="F135" s="16125"/>
      <c r="G135" s="16125">
        <v>1</v>
      </c>
      <c r="H135" s="16125"/>
      <c r="I135" s="16145"/>
      <c r="J135" s="16122"/>
      <c r="K135" s="2502"/>
      <c r="L135" s="2503"/>
      <c r="M135" s="2513"/>
      <c r="N135" s="2513"/>
      <c r="O135" s="2513"/>
      <c r="P135" s="16123"/>
      <c r="Q135" s="16123"/>
      <c r="R135" s="2515"/>
      <c r="S135" s="5552"/>
      <c r="T135" s="5553" t="s">
        <v>621</v>
      </c>
      <c r="U135" s="5554"/>
      <c r="V135" s="5555"/>
      <c r="W135" s="5556"/>
      <c r="X135" s="5557"/>
      <c r="Y135" s="5558"/>
      <c r="Z135" s="5559"/>
      <c r="AA135" s="5560"/>
      <c r="AB135" s="5561"/>
      <c r="AC135" s="5562"/>
      <c r="AD135" s="5563"/>
      <c r="AE135" s="5564"/>
      <c r="AF135" s="5565"/>
      <c r="AG135" s="5566"/>
      <c r="AH135" s="5567"/>
      <c r="AI135" s="5568"/>
      <c r="AJ135" s="5569"/>
      <c r="AK135" s="5570"/>
      <c r="AL135" s="5571"/>
      <c r="AM135" s="5572"/>
      <c r="AN135" s="5573"/>
      <c r="AO135" s="5574"/>
      <c r="AP135" s="5575"/>
      <c r="AQ135" s="5576"/>
      <c r="AR135" s="5577"/>
      <c r="AS135" s="5578"/>
      <c r="AT135" s="5579"/>
      <c r="AU135" s="5580"/>
      <c r="AV135" s="5581"/>
      <c r="AW135" s="5582"/>
      <c r="AX135" s="5583"/>
      <c r="AY135" s="5584"/>
      <c r="AZ135" s="5585"/>
      <c r="BA135" s="5586"/>
      <c r="BB135" s="5587"/>
      <c r="BC135" s="5588"/>
      <c r="BD135" s="5589"/>
      <c r="BE135" s="5590"/>
      <c r="BF135" s="5591"/>
      <c r="BG135" s="5592"/>
      <c r="BH135" s="5593"/>
      <c r="BI135" s="5594"/>
      <c r="BJ135" s="5595"/>
      <c r="BK135" s="5596"/>
      <c r="BL135" s="5597"/>
      <c r="BM135" s="5598"/>
      <c r="BN135" s="5599"/>
      <c r="BO135" s="5600"/>
      <c r="BP135" s="5601"/>
      <c r="BQ135" s="5602"/>
      <c r="BR135" s="5603"/>
      <c r="BS135" s="5604"/>
      <c r="BT135" s="5605"/>
      <c r="BU135" s="5606"/>
      <c r="BV135" s="5607"/>
      <c r="BW135" s="5608"/>
      <c r="BX135" s="5609"/>
      <c r="BY135" s="5610"/>
      <c r="BZ135" s="5611"/>
      <c r="CA135" s="5612"/>
      <c r="CB135" s="5613"/>
      <c r="CC135" s="5614"/>
      <c r="CD135" s="5615"/>
      <c r="CE135" s="5616"/>
      <c r="CF135" s="5617"/>
      <c r="CG135" s="5618"/>
      <c r="CH135" s="5619"/>
      <c r="CI135" s="5620"/>
      <c r="CJ135" s="5621"/>
      <c r="CK135" s="5622"/>
      <c r="CL135" s="5623"/>
      <c r="CM135" s="5624"/>
      <c r="CN135" s="5625"/>
      <c r="CO135" s="5626"/>
      <c r="CP135" s="5627"/>
      <c r="CQ135" s="5628"/>
      <c r="CR135" s="5629"/>
      <c r="CS135" s="5630"/>
      <c r="CT135" s="5631"/>
      <c r="CU135" s="5632"/>
      <c r="CV135" s="5633"/>
      <c r="CW135" s="5634"/>
      <c r="CX135" s="5635"/>
      <c r="CY135" s="5636"/>
      <c r="CZ135" s="5637"/>
      <c r="DA135" s="5638"/>
      <c r="DB135" s="5639"/>
      <c r="DC135" s="5640"/>
      <c r="DD135" s="5641"/>
      <c r="DE135" s="5642"/>
      <c r="DF135" s="5643"/>
      <c r="DG135" s="5644"/>
      <c r="DH135" s="5645"/>
      <c r="DI135" s="5646"/>
      <c r="DJ135" s="5647"/>
      <c r="DK135" s="5648"/>
      <c r="DL135" s="5649"/>
      <c r="DM135" s="5650"/>
      <c r="DN135" s="5651"/>
      <c r="DO135" s="5652"/>
      <c r="DP135" s="5653"/>
      <c r="DQ135" s="5654"/>
      <c r="DR135" s="5655"/>
      <c r="DS135" s="5656"/>
      <c r="DT135" s="5657"/>
      <c r="DU135" s="5658"/>
      <c r="DV135" s="5659"/>
      <c r="DW135" s="5660"/>
      <c r="DX135" s="5661"/>
      <c r="DY135" s="5662"/>
      <c r="DZ135" s="5663"/>
      <c r="EA135" s="5664"/>
      <c r="EB135" s="5665"/>
      <c r="EC135" s="5666"/>
      <c r="ED135" s="5667"/>
      <c r="EE135" s="5668"/>
      <c r="EF135" s="5669"/>
      <c r="EG135" s="5670"/>
      <c r="EH135" s="5671"/>
      <c r="EI135" s="5672"/>
      <c r="EJ135" s="5673"/>
      <c r="EK135" s="5674"/>
      <c r="EL135" s="5675"/>
      <c r="EM135" s="14875"/>
      <c r="EN135" s="14876"/>
      <c r="EO135" s="14877"/>
      <c r="EP135" s="14878"/>
      <c r="EQ135" s="14879"/>
      <c r="ER135" s="14880"/>
      <c r="ES135" s="14881"/>
      <c r="ET135" s="14882"/>
      <c r="EU135" s="14883"/>
      <c r="EV135" s="14884"/>
      <c r="EW135" s="14885"/>
      <c r="EX135" s="5676"/>
      <c r="EY135" s="2511" t="s">
        <v>622</v>
      </c>
      <c r="EZ135" s="2199"/>
      <c r="FA135" s="2512"/>
      <c r="FB135" s="2512" t="str">
        <f t="shared" si="2"/>
        <v>Добавить значение признака дифференциации</v>
      </c>
      <c r="FC135" s="2512"/>
      <c r="FD135" s="2512"/>
    </row>
    <row r="136" spans="1:160" s="14886" customFormat="1" ht="21" customHeight="1">
      <c r="A136" s="2502"/>
      <c r="B136" s="2502"/>
      <c r="C136" s="2502"/>
      <c r="D136" s="2502"/>
      <c r="E136" s="16125"/>
      <c r="F136" s="16125"/>
      <c r="G136" s="16125">
        <v>1</v>
      </c>
      <c r="H136" s="16125"/>
      <c r="I136" s="16122"/>
      <c r="J136" s="2502"/>
      <c r="K136" s="2502"/>
      <c r="L136" s="2503"/>
      <c r="M136" s="2513"/>
      <c r="N136" s="2513"/>
      <c r="O136" s="2513"/>
      <c r="P136" s="16123"/>
      <c r="Q136" s="2514"/>
      <c r="R136" s="2515"/>
      <c r="S136" s="5677"/>
      <c r="T136" s="5678" t="s">
        <v>549</v>
      </c>
      <c r="U136" s="5679"/>
      <c r="V136" s="5680"/>
      <c r="W136" s="5681"/>
      <c r="X136" s="5682"/>
      <c r="Y136" s="5683"/>
      <c r="Z136" s="5684"/>
      <c r="AA136" s="5685"/>
      <c r="AB136" s="5686"/>
      <c r="AC136" s="5687"/>
      <c r="AD136" s="5688"/>
      <c r="AE136" s="5689"/>
      <c r="AF136" s="5690"/>
      <c r="AG136" s="5691"/>
      <c r="AH136" s="5692"/>
      <c r="AI136" s="5693"/>
      <c r="AJ136" s="5694"/>
      <c r="AK136" s="5695"/>
      <c r="AL136" s="5696"/>
      <c r="AM136" s="5697"/>
      <c r="AN136" s="5698"/>
      <c r="AO136" s="5699"/>
      <c r="AP136" s="5700"/>
      <c r="AQ136" s="5701"/>
      <c r="AR136" s="5702"/>
      <c r="AS136" s="5703"/>
      <c r="AT136" s="5704"/>
      <c r="AU136" s="5705"/>
      <c r="AV136" s="5706"/>
      <c r="AW136" s="5707"/>
      <c r="AX136" s="5708"/>
      <c r="AY136" s="5709"/>
      <c r="AZ136" s="5710"/>
      <c r="BA136" s="5711"/>
      <c r="BB136" s="5712"/>
      <c r="BC136" s="5713"/>
      <c r="BD136" s="5714"/>
      <c r="BE136" s="5715"/>
      <c r="BF136" s="5716"/>
      <c r="BG136" s="5717"/>
      <c r="BH136" s="5718"/>
      <c r="BI136" s="5719"/>
      <c r="BJ136" s="5720"/>
      <c r="BK136" s="5721"/>
      <c r="BL136" s="5722"/>
      <c r="BM136" s="5723"/>
      <c r="BN136" s="5724"/>
      <c r="BO136" s="5725"/>
      <c r="BP136" s="5726"/>
      <c r="BQ136" s="5727"/>
      <c r="BR136" s="5728"/>
      <c r="BS136" s="5729"/>
      <c r="BT136" s="5730"/>
      <c r="BU136" s="5731"/>
      <c r="BV136" s="5732"/>
      <c r="BW136" s="5733"/>
      <c r="BX136" s="5734"/>
      <c r="BY136" s="5735"/>
      <c r="BZ136" s="5736"/>
      <c r="CA136" s="5737"/>
      <c r="CB136" s="5738"/>
      <c r="CC136" s="5739"/>
      <c r="CD136" s="5740"/>
      <c r="CE136" s="5741"/>
      <c r="CF136" s="5742"/>
      <c r="CG136" s="5743"/>
      <c r="CH136" s="5744"/>
      <c r="CI136" s="5745"/>
      <c r="CJ136" s="5746"/>
      <c r="CK136" s="5747"/>
      <c r="CL136" s="5748"/>
      <c r="CM136" s="5749"/>
      <c r="CN136" s="5750"/>
      <c r="CO136" s="5751"/>
      <c r="CP136" s="5752"/>
      <c r="CQ136" s="5753"/>
      <c r="CR136" s="5754"/>
      <c r="CS136" s="5755"/>
      <c r="CT136" s="5756"/>
      <c r="CU136" s="5757"/>
      <c r="CV136" s="5758"/>
      <c r="CW136" s="5759"/>
      <c r="CX136" s="5760"/>
      <c r="CY136" s="5761"/>
      <c r="CZ136" s="5762"/>
      <c r="DA136" s="5763"/>
      <c r="DB136" s="5764"/>
      <c r="DC136" s="5765"/>
      <c r="DD136" s="5766"/>
      <c r="DE136" s="5767"/>
      <c r="DF136" s="5768"/>
      <c r="DG136" s="5769"/>
      <c r="DH136" s="5770"/>
      <c r="DI136" s="5771"/>
      <c r="DJ136" s="5772"/>
      <c r="DK136" s="5773"/>
      <c r="DL136" s="5774"/>
      <c r="DM136" s="5775"/>
      <c r="DN136" s="5776"/>
      <c r="DO136" s="5777"/>
      <c r="DP136" s="5778"/>
      <c r="DQ136" s="5779"/>
      <c r="DR136" s="5780"/>
      <c r="DS136" s="5781"/>
      <c r="DT136" s="5782"/>
      <c r="DU136" s="5783"/>
      <c r="DV136" s="5784"/>
      <c r="DW136" s="5785"/>
      <c r="DX136" s="5786"/>
      <c r="DY136" s="5787"/>
      <c r="DZ136" s="5788"/>
      <c r="EA136" s="5789"/>
      <c r="EB136" s="5790"/>
      <c r="EC136" s="5791"/>
      <c r="ED136" s="5792"/>
      <c r="EE136" s="5793"/>
      <c r="EF136" s="5794"/>
      <c r="EG136" s="5795"/>
      <c r="EH136" s="5796"/>
      <c r="EI136" s="5797"/>
      <c r="EJ136" s="5798"/>
      <c r="EK136" s="5799"/>
      <c r="EL136" s="5800"/>
      <c r="EM136" s="14887"/>
      <c r="EN136" s="14888"/>
      <c r="EO136" s="14889"/>
      <c r="EP136" s="14890"/>
      <c r="EQ136" s="14891"/>
      <c r="ER136" s="14892"/>
      <c r="ES136" s="14893"/>
      <c r="ET136" s="14894"/>
      <c r="EU136" s="14895"/>
      <c r="EV136" s="14896"/>
      <c r="EW136" s="14897"/>
      <c r="EX136" s="5801"/>
      <c r="EY136" s="5802"/>
      <c r="EZ136" s="2199"/>
      <c r="FA136" s="2512"/>
      <c r="FB136" s="2512" t="str">
        <f t="shared" si="2"/>
        <v>Добавить группу потребителей</v>
      </c>
      <c r="FC136" s="2512"/>
      <c r="FD136" s="2512"/>
    </row>
    <row r="137" spans="1:160" s="14898" customFormat="1" ht="21" customHeight="1">
      <c r="A137" s="2502"/>
      <c r="B137" s="2502"/>
      <c r="C137" s="2502"/>
      <c r="D137" s="2502"/>
      <c r="E137" s="16125"/>
      <c r="F137" s="16125"/>
      <c r="G137" s="16125">
        <v>1</v>
      </c>
      <c r="H137" s="16124"/>
      <c r="I137" s="2502"/>
      <c r="J137" s="2502"/>
      <c r="K137" s="2502"/>
      <c r="L137" s="2503"/>
      <c r="M137" s="2504"/>
      <c r="N137" s="2504"/>
      <c r="O137" s="2193"/>
      <c r="P137" s="2775"/>
      <c r="Q137" s="2776"/>
      <c r="R137" s="2777"/>
      <c r="S137" s="5803"/>
      <c r="T137" s="5804" t="s">
        <v>623</v>
      </c>
      <c r="U137" s="5805"/>
      <c r="V137" s="5806"/>
      <c r="W137" s="5807"/>
      <c r="X137" s="5808"/>
      <c r="Y137" s="5809"/>
      <c r="Z137" s="5810"/>
      <c r="AA137" s="5811"/>
      <c r="AB137" s="5812"/>
      <c r="AC137" s="5813"/>
      <c r="AD137" s="5814"/>
      <c r="AE137" s="5815"/>
      <c r="AF137" s="5816"/>
      <c r="AG137" s="5817"/>
      <c r="AH137" s="5818"/>
      <c r="AI137" s="5819"/>
      <c r="AJ137" s="5820"/>
      <c r="AK137" s="5821"/>
      <c r="AL137" s="5822"/>
      <c r="AM137" s="5823"/>
      <c r="AN137" s="5824"/>
      <c r="AO137" s="5825"/>
      <c r="AP137" s="5826"/>
      <c r="AQ137" s="5827"/>
      <c r="AR137" s="5828"/>
      <c r="AS137" s="5829"/>
      <c r="AT137" s="5830"/>
      <c r="AU137" s="5831"/>
      <c r="AV137" s="5832"/>
      <c r="AW137" s="5833"/>
      <c r="AX137" s="5834"/>
      <c r="AY137" s="5835"/>
      <c r="AZ137" s="5836"/>
      <c r="BA137" s="5837"/>
      <c r="BB137" s="5838"/>
      <c r="BC137" s="5839"/>
      <c r="BD137" s="5840"/>
      <c r="BE137" s="5841"/>
      <c r="BF137" s="5842"/>
      <c r="BG137" s="5843"/>
      <c r="BH137" s="5844"/>
      <c r="BI137" s="5845"/>
      <c r="BJ137" s="5846"/>
      <c r="BK137" s="5847"/>
      <c r="BL137" s="5848"/>
      <c r="BM137" s="5849"/>
      <c r="BN137" s="5850"/>
      <c r="BO137" s="5851"/>
      <c r="BP137" s="5852"/>
      <c r="BQ137" s="5853"/>
      <c r="BR137" s="5854"/>
      <c r="BS137" s="5855"/>
      <c r="BT137" s="5856"/>
      <c r="BU137" s="5857"/>
      <c r="BV137" s="5858"/>
      <c r="BW137" s="5859"/>
      <c r="BX137" s="5860"/>
      <c r="BY137" s="5861"/>
      <c r="BZ137" s="5862"/>
      <c r="CA137" s="5863"/>
      <c r="CB137" s="5864"/>
      <c r="CC137" s="5865"/>
      <c r="CD137" s="5866"/>
      <c r="CE137" s="5867"/>
      <c r="CF137" s="5868"/>
      <c r="CG137" s="5869"/>
      <c r="CH137" s="5870"/>
      <c r="CI137" s="5871"/>
      <c r="CJ137" s="5872"/>
      <c r="CK137" s="5873"/>
      <c r="CL137" s="5874"/>
      <c r="CM137" s="5875"/>
      <c r="CN137" s="5876"/>
      <c r="CO137" s="5877"/>
      <c r="CP137" s="5878"/>
      <c r="CQ137" s="5879"/>
      <c r="CR137" s="5880"/>
      <c r="CS137" s="5881"/>
      <c r="CT137" s="5882"/>
      <c r="CU137" s="5883"/>
      <c r="CV137" s="5884"/>
      <c r="CW137" s="5885"/>
      <c r="CX137" s="5886"/>
      <c r="CY137" s="5887"/>
      <c r="CZ137" s="5888"/>
      <c r="DA137" s="5889"/>
      <c r="DB137" s="5890"/>
      <c r="DC137" s="5891"/>
      <c r="DD137" s="5892"/>
      <c r="DE137" s="5893"/>
      <c r="DF137" s="5894"/>
      <c r="DG137" s="5895"/>
      <c r="DH137" s="5896"/>
      <c r="DI137" s="5897"/>
      <c r="DJ137" s="5898"/>
      <c r="DK137" s="5899"/>
      <c r="DL137" s="5900"/>
      <c r="DM137" s="5901"/>
      <c r="DN137" s="5902"/>
      <c r="DO137" s="5903"/>
      <c r="DP137" s="5904"/>
      <c r="DQ137" s="5905"/>
      <c r="DR137" s="5906"/>
      <c r="DS137" s="5907"/>
      <c r="DT137" s="5908"/>
      <c r="DU137" s="5909"/>
      <c r="DV137" s="5910"/>
      <c r="DW137" s="5911"/>
      <c r="DX137" s="5912"/>
      <c r="DY137" s="5913"/>
      <c r="DZ137" s="5914"/>
      <c r="EA137" s="5915"/>
      <c r="EB137" s="5916"/>
      <c r="EC137" s="5917"/>
      <c r="ED137" s="5918"/>
      <c r="EE137" s="5919"/>
      <c r="EF137" s="5920"/>
      <c r="EG137" s="5921"/>
      <c r="EH137" s="5922"/>
      <c r="EI137" s="5923"/>
      <c r="EJ137" s="5924"/>
      <c r="EK137" s="5925"/>
      <c r="EL137" s="5926"/>
      <c r="EM137" s="14899"/>
      <c r="EN137" s="14900"/>
      <c r="EO137" s="14901"/>
      <c r="EP137" s="14902"/>
      <c r="EQ137" s="14903"/>
      <c r="ER137" s="14904"/>
      <c r="ES137" s="14905"/>
      <c r="ET137" s="14906"/>
      <c r="EU137" s="14907"/>
      <c r="EV137" s="14908"/>
      <c r="EW137" s="14909"/>
      <c r="EX137" s="5927"/>
      <c r="EY137" s="5928"/>
      <c r="EZ137" s="2199"/>
      <c r="FA137" s="2512"/>
      <c r="FB137" s="2512" t="str">
        <f t="shared" si="2"/>
        <v>Добавить наименование признака дифференциации</v>
      </c>
      <c r="FC137" s="2512"/>
      <c r="FD137" s="2512"/>
    </row>
    <row r="138" spans="1:160" s="14910" customFormat="1" ht="23.25" customHeight="1">
      <c r="A138" s="2502"/>
      <c r="B138" s="2502"/>
      <c r="C138" s="2502" t="s">
        <v>320</v>
      </c>
      <c r="D138" s="2502"/>
      <c r="E138" s="16125"/>
      <c r="F138" s="16125"/>
      <c r="G138" s="16124" t="s">
        <v>89</v>
      </c>
      <c r="H138" s="2502"/>
      <c r="I138" s="2502"/>
      <c r="J138" s="2502"/>
      <c r="K138" s="2502"/>
      <c r="L138" s="2503"/>
      <c r="M138" s="2504"/>
      <c r="N138" s="2504"/>
      <c r="O138" s="2504"/>
      <c r="P138" s="2505"/>
      <c r="Q138" s="2506"/>
      <c r="R138" s="2507"/>
      <c r="S138" s="2508" t="str">
        <f>INDEX(PT_DIFFERENTIATION_NUM_CS,MATCH(C138,PT_DIFFERENTIATION_CS_ID,0))</f>
        <v>1.8.3</v>
      </c>
      <c r="T138" s="2509" t="s">
        <v>665</v>
      </c>
      <c r="U138" s="2510"/>
      <c r="V138" s="16110"/>
      <c r="W138" s="16111"/>
      <c r="X138" s="16111"/>
      <c r="Y138" s="16111"/>
      <c r="Z138" s="16111"/>
      <c r="AA138" s="16111"/>
      <c r="AB138" s="16111"/>
      <c r="AC138" s="16111"/>
      <c r="AD138" s="16111"/>
      <c r="AE138" s="16111"/>
      <c r="AF138" s="16112"/>
      <c r="AG138" s="16110" t="str">
        <f>INDEX(PT_DIFFERENTIATION_CS,MATCH(C138,PT_DIFFERENTIATION_CS_ID,0))</f>
        <v>Городской округ закрытое административно-территориальное образование город Североморск Мурманской области (н.п. Щукозеро ул. Приозерная, 1, 3)</v>
      </c>
      <c r="AH138" s="16111"/>
      <c r="AI138" s="16111"/>
      <c r="AJ138" s="16111"/>
      <c r="AK138" s="16111"/>
      <c r="AL138" s="16111"/>
      <c r="AM138" s="16111"/>
      <c r="AN138" s="16111"/>
      <c r="AO138" s="16111"/>
      <c r="AP138" s="16111"/>
      <c r="AQ138" s="16111"/>
      <c r="AR138" s="16110"/>
      <c r="AS138" s="16111"/>
      <c r="AT138" s="16111"/>
      <c r="AU138" s="16111"/>
      <c r="AV138" s="16111"/>
      <c r="AW138" s="16111"/>
      <c r="AX138" s="16111"/>
      <c r="AY138" s="16111"/>
      <c r="AZ138" s="16111"/>
      <c r="BA138" s="16111"/>
      <c r="BB138" s="16112"/>
      <c r="BC138" s="16110"/>
      <c r="BD138" s="16111"/>
      <c r="BE138" s="16111"/>
      <c r="BF138" s="16111"/>
      <c r="BG138" s="16111"/>
      <c r="BH138" s="16111"/>
      <c r="BI138" s="16111"/>
      <c r="BJ138" s="16111"/>
      <c r="BK138" s="16111"/>
      <c r="BL138" s="16111"/>
      <c r="BM138" s="16112"/>
      <c r="BN138" s="16110"/>
      <c r="BO138" s="16111"/>
      <c r="BP138" s="16111"/>
      <c r="BQ138" s="16111"/>
      <c r="BR138" s="16111"/>
      <c r="BS138" s="16111"/>
      <c r="BT138" s="16111"/>
      <c r="BU138" s="16111"/>
      <c r="BV138" s="16111"/>
      <c r="BW138" s="16111"/>
      <c r="BX138" s="16112"/>
      <c r="BY138" s="16110"/>
      <c r="BZ138" s="16111"/>
      <c r="CA138" s="16111"/>
      <c r="CB138" s="16111"/>
      <c r="CC138" s="16111"/>
      <c r="CD138" s="16111"/>
      <c r="CE138" s="16111"/>
      <c r="CF138" s="16111"/>
      <c r="CG138" s="16111"/>
      <c r="CH138" s="16111"/>
      <c r="CI138" s="16112"/>
      <c r="CJ138" s="16110"/>
      <c r="CK138" s="16111"/>
      <c r="CL138" s="16111"/>
      <c r="CM138" s="16111"/>
      <c r="CN138" s="16111"/>
      <c r="CO138" s="16111"/>
      <c r="CP138" s="16111"/>
      <c r="CQ138" s="16111"/>
      <c r="CR138" s="16111"/>
      <c r="CS138" s="16111"/>
      <c r="CT138" s="16112"/>
      <c r="CU138" s="16110"/>
      <c r="CV138" s="16111"/>
      <c r="CW138" s="16111"/>
      <c r="CX138" s="16111"/>
      <c r="CY138" s="16111"/>
      <c r="CZ138" s="16111"/>
      <c r="DA138" s="16111"/>
      <c r="DB138" s="16111"/>
      <c r="DC138" s="16111"/>
      <c r="DD138" s="16111"/>
      <c r="DE138" s="16112"/>
      <c r="DF138" s="16110"/>
      <c r="DG138" s="16111"/>
      <c r="DH138" s="16111"/>
      <c r="DI138" s="16111"/>
      <c r="DJ138" s="16111"/>
      <c r="DK138" s="16111"/>
      <c r="DL138" s="16111"/>
      <c r="DM138" s="16111"/>
      <c r="DN138" s="16111"/>
      <c r="DO138" s="16111"/>
      <c r="DP138" s="16112"/>
      <c r="DQ138" s="16110"/>
      <c r="DR138" s="16111"/>
      <c r="DS138" s="16111"/>
      <c r="DT138" s="16111"/>
      <c r="DU138" s="16111"/>
      <c r="DV138" s="16111"/>
      <c r="DW138" s="16111"/>
      <c r="DX138" s="16111"/>
      <c r="DY138" s="16111"/>
      <c r="DZ138" s="16111"/>
      <c r="EA138" s="16112"/>
      <c r="EB138" s="16110"/>
      <c r="EC138" s="16111"/>
      <c r="ED138" s="16111"/>
      <c r="EE138" s="16111"/>
      <c r="EF138" s="16111"/>
      <c r="EG138" s="16111"/>
      <c r="EH138" s="16111"/>
      <c r="EI138" s="16111"/>
      <c r="EJ138" s="16111"/>
      <c r="EK138" s="16111"/>
      <c r="EL138" s="16112"/>
      <c r="EM138" s="16110"/>
      <c r="EN138" s="16111"/>
      <c r="EO138" s="16111"/>
      <c r="EP138" s="16111"/>
      <c r="EQ138" s="16111"/>
      <c r="ER138" s="16111"/>
      <c r="ES138" s="16111"/>
      <c r="ET138" s="16111"/>
      <c r="EU138" s="16111"/>
      <c r="EV138" s="16111"/>
      <c r="EW138" s="16112"/>
      <c r="EX138" s="16112"/>
      <c r="EY138" s="2511" t="s">
        <v>666</v>
      </c>
      <c r="EZ138" s="2199"/>
      <c r="FA138" s="2512"/>
      <c r="FB138" s="2512" t="str">
        <f t="shared" si="2"/>
        <v>Наименование централизованной системы горячего водоснабжения</v>
      </c>
      <c r="FC138" s="2512"/>
      <c r="FD138" s="2512"/>
    </row>
    <row r="139" spans="1:160" s="14911" customFormat="1" ht="23.25" customHeight="1">
      <c r="A139" s="2502"/>
      <c r="B139" s="2502"/>
      <c r="C139" s="2502"/>
      <c r="D139" s="2502"/>
      <c r="E139" s="16125"/>
      <c r="F139" s="16125"/>
      <c r="G139" s="16125" t="s">
        <v>102</v>
      </c>
      <c r="H139" s="16125"/>
      <c r="I139" s="16122" t="str">
        <f>S138&amp;".1"</f>
        <v>1.8.3.1</v>
      </c>
      <c r="J139" s="2502"/>
      <c r="K139" s="2502"/>
      <c r="L139" s="2503"/>
      <c r="M139" s="2513"/>
      <c r="N139" s="2513"/>
      <c r="O139" s="2513"/>
      <c r="P139" s="16123">
        <v>1</v>
      </c>
      <c r="Q139" s="2514"/>
      <c r="R139" s="2515"/>
      <c r="S139" s="2508" t="str">
        <f>$I139</f>
        <v>1.8.3.1</v>
      </c>
      <c r="T139" s="2516" t="s">
        <v>618</v>
      </c>
      <c r="U139" s="2510"/>
      <c r="V139" s="16183"/>
      <c r="W139" s="16184"/>
      <c r="X139" s="16184"/>
      <c r="Y139" s="16184"/>
      <c r="Z139" s="16184"/>
      <c r="AA139" s="16184"/>
      <c r="AB139" s="16184"/>
      <c r="AC139" s="16184"/>
      <c r="AD139" s="16184"/>
      <c r="AE139" s="16184"/>
      <c r="AF139" s="16185"/>
      <c r="AG139" s="16186"/>
      <c r="AH139" s="16187"/>
      <c r="AI139" s="16187"/>
      <c r="AJ139" s="16187"/>
      <c r="AK139" s="16187"/>
      <c r="AL139" s="16187"/>
      <c r="AM139" s="16187"/>
      <c r="AN139" s="16187"/>
      <c r="AO139" s="16187"/>
      <c r="AP139" s="16187"/>
      <c r="AQ139" s="16187"/>
      <c r="AR139" s="16183"/>
      <c r="AS139" s="16184"/>
      <c r="AT139" s="16184"/>
      <c r="AU139" s="16184"/>
      <c r="AV139" s="16184"/>
      <c r="AW139" s="16184"/>
      <c r="AX139" s="16184"/>
      <c r="AY139" s="16184"/>
      <c r="AZ139" s="16184"/>
      <c r="BA139" s="16184"/>
      <c r="BB139" s="16185"/>
      <c r="BC139" s="16183"/>
      <c r="BD139" s="16184"/>
      <c r="BE139" s="16184"/>
      <c r="BF139" s="16184"/>
      <c r="BG139" s="16184"/>
      <c r="BH139" s="16184"/>
      <c r="BI139" s="16184"/>
      <c r="BJ139" s="16184"/>
      <c r="BK139" s="16184"/>
      <c r="BL139" s="16184"/>
      <c r="BM139" s="16185"/>
      <c r="BN139" s="16183"/>
      <c r="BO139" s="16184"/>
      <c r="BP139" s="16184"/>
      <c r="BQ139" s="16184"/>
      <c r="BR139" s="16184"/>
      <c r="BS139" s="16184"/>
      <c r="BT139" s="16184"/>
      <c r="BU139" s="16184"/>
      <c r="BV139" s="16184"/>
      <c r="BW139" s="16184"/>
      <c r="BX139" s="16185"/>
      <c r="BY139" s="16183"/>
      <c r="BZ139" s="16184"/>
      <c r="CA139" s="16184"/>
      <c r="CB139" s="16184"/>
      <c r="CC139" s="16184"/>
      <c r="CD139" s="16184"/>
      <c r="CE139" s="16184"/>
      <c r="CF139" s="16184"/>
      <c r="CG139" s="16184"/>
      <c r="CH139" s="16184"/>
      <c r="CI139" s="16185"/>
      <c r="CJ139" s="16183"/>
      <c r="CK139" s="16184"/>
      <c r="CL139" s="16184"/>
      <c r="CM139" s="16184"/>
      <c r="CN139" s="16184"/>
      <c r="CO139" s="16184"/>
      <c r="CP139" s="16184"/>
      <c r="CQ139" s="16184"/>
      <c r="CR139" s="16184"/>
      <c r="CS139" s="16184"/>
      <c r="CT139" s="16185"/>
      <c r="CU139" s="16183"/>
      <c r="CV139" s="16184"/>
      <c r="CW139" s="16184"/>
      <c r="CX139" s="16184"/>
      <c r="CY139" s="16184"/>
      <c r="CZ139" s="16184"/>
      <c r="DA139" s="16184"/>
      <c r="DB139" s="16184"/>
      <c r="DC139" s="16184"/>
      <c r="DD139" s="16184"/>
      <c r="DE139" s="16185"/>
      <c r="DF139" s="16183"/>
      <c r="DG139" s="16184"/>
      <c r="DH139" s="16184"/>
      <c r="DI139" s="16184"/>
      <c r="DJ139" s="16184"/>
      <c r="DK139" s="16184"/>
      <c r="DL139" s="16184"/>
      <c r="DM139" s="16184"/>
      <c r="DN139" s="16184"/>
      <c r="DO139" s="16184"/>
      <c r="DP139" s="16185"/>
      <c r="DQ139" s="16183"/>
      <c r="DR139" s="16184"/>
      <c r="DS139" s="16184"/>
      <c r="DT139" s="16184"/>
      <c r="DU139" s="16184"/>
      <c r="DV139" s="16184"/>
      <c r="DW139" s="16184"/>
      <c r="DX139" s="16184"/>
      <c r="DY139" s="16184"/>
      <c r="DZ139" s="16184"/>
      <c r="EA139" s="16185"/>
      <c r="EB139" s="16183"/>
      <c r="EC139" s="16184"/>
      <c r="ED139" s="16184"/>
      <c r="EE139" s="16184"/>
      <c r="EF139" s="16184"/>
      <c r="EG139" s="16184"/>
      <c r="EH139" s="16184"/>
      <c r="EI139" s="16184"/>
      <c r="EJ139" s="16184"/>
      <c r="EK139" s="16184"/>
      <c r="EL139" s="16185"/>
      <c r="EM139" s="16183"/>
      <c r="EN139" s="16184"/>
      <c r="EO139" s="16184"/>
      <c r="EP139" s="16184"/>
      <c r="EQ139" s="16184"/>
      <c r="ER139" s="16184"/>
      <c r="ES139" s="16184"/>
      <c r="ET139" s="16184"/>
      <c r="EU139" s="16184"/>
      <c r="EV139" s="16184"/>
      <c r="EW139" s="16185"/>
      <c r="EX139" s="16188"/>
      <c r="EY139" s="2511" t="s">
        <v>619</v>
      </c>
      <c r="EZ139" s="2199"/>
      <c r="FA139" s="2512"/>
      <c r="FB139" s="2512" t="str">
        <f t="shared" si="2"/>
        <v>Наименование признака дифференциации</v>
      </c>
      <c r="FC139" s="2512"/>
      <c r="FD139" s="2512"/>
    </row>
    <row r="140" spans="1:160" s="14912" customFormat="1" ht="23.25" customHeight="1">
      <c r="A140" s="2502"/>
      <c r="B140" s="2502"/>
      <c r="C140" s="2502"/>
      <c r="D140" s="2502"/>
      <c r="E140" s="16125"/>
      <c r="F140" s="16125"/>
      <c r="G140" s="16125" t="s">
        <v>102</v>
      </c>
      <c r="H140" s="16125"/>
      <c r="I140" s="16145"/>
      <c r="J140" s="16122" t="str">
        <f>I139&amp;".1"</f>
        <v>1.8.3.1.1</v>
      </c>
      <c r="K140" s="2502"/>
      <c r="L140" s="2503" t="s">
        <v>543</v>
      </c>
      <c r="M140" s="2513"/>
      <c r="N140" s="2513"/>
      <c r="O140" s="2513"/>
      <c r="P140" s="16123"/>
      <c r="Q140" s="16123">
        <v>1</v>
      </c>
      <c r="R140" s="2517"/>
      <c r="S140" s="2508" t="str">
        <f>$J140</f>
        <v>1.8.3.1.1</v>
      </c>
      <c r="T140" s="2518" t="s">
        <v>544</v>
      </c>
      <c r="U140" s="2510"/>
      <c r="V140" s="16113"/>
      <c r="W140" s="16114"/>
      <c r="X140" s="16114"/>
      <c r="Y140" s="16114"/>
      <c r="Z140" s="16114"/>
      <c r="AA140" s="16114"/>
      <c r="AB140" s="16114"/>
      <c r="AC140" s="16114"/>
      <c r="AD140" s="16114"/>
      <c r="AE140" s="16114"/>
      <c r="AF140" s="16115"/>
      <c r="AG140" s="16113" t="s">
        <v>678</v>
      </c>
      <c r="AH140" s="16114"/>
      <c r="AI140" s="16114"/>
      <c r="AJ140" s="16114"/>
      <c r="AK140" s="16114"/>
      <c r="AL140" s="16114"/>
      <c r="AM140" s="16114"/>
      <c r="AN140" s="16114"/>
      <c r="AO140" s="16114"/>
      <c r="AP140" s="16114"/>
      <c r="AQ140" s="16114"/>
      <c r="AR140" s="16113"/>
      <c r="AS140" s="16114"/>
      <c r="AT140" s="16114"/>
      <c r="AU140" s="16114"/>
      <c r="AV140" s="16114"/>
      <c r="AW140" s="16114"/>
      <c r="AX140" s="16114"/>
      <c r="AY140" s="16114"/>
      <c r="AZ140" s="16114"/>
      <c r="BA140" s="16114"/>
      <c r="BB140" s="16115"/>
      <c r="BC140" s="16113"/>
      <c r="BD140" s="16114"/>
      <c r="BE140" s="16114"/>
      <c r="BF140" s="16114"/>
      <c r="BG140" s="16114"/>
      <c r="BH140" s="16114"/>
      <c r="BI140" s="16114"/>
      <c r="BJ140" s="16114"/>
      <c r="BK140" s="16114"/>
      <c r="BL140" s="16114"/>
      <c r="BM140" s="16115"/>
      <c r="BN140" s="16113"/>
      <c r="BO140" s="16114"/>
      <c r="BP140" s="16114"/>
      <c r="BQ140" s="16114"/>
      <c r="BR140" s="16114"/>
      <c r="BS140" s="16114"/>
      <c r="BT140" s="16114"/>
      <c r="BU140" s="16114"/>
      <c r="BV140" s="16114"/>
      <c r="BW140" s="16114"/>
      <c r="BX140" s="16115"/>
      <c r="BY140" s="16113"/>
      <c r="BZ140" s="16114"/>
      <c r="CA140" s="16114"/>
      <c r="CB140" s="16114"/>
      <c r="CC140" s="16114"/>
      <c r="CD140" s="16114"/>
      <c r="CE140" s="16114"/>
      <c r="CF140" s="16114"/>
      <c r="CG140" s="16114"/>
      <c r="CH140" s="16114"/>
      <c r="CI140" s="16115"/>
      <c r="CJ140" s="16113"/>
      <c r="CK140" s="16114"/>
      <c r="CL140" s="16114"/>
      <c r="CM140" s="16114"/>
      <c r="CN140" s="16114"/>
      <c r="CO140" s="16114"/>
      <c r="CP140" s="16114"/>
      <c r="CQ140" s="16114"/>
      <c r="CR140" s="16114"/>
      <c r="CS140" s="16114"/>
      <c r="CT140" s="16115"/>
      <c r="CU140" s="16113"/>
      <c r="CV140" s="16114"/>
      <c r="CW140" s="16114"/>
      <c r="CX140" s="16114"/>
      <c r="CY140" s="16114"/>
      <c r="CZ140" s="16114"/>
      <c r="DA140" s="16114"/>
      <c r="DB140" s="16114"/>
      <c r="DC140" s="16114"/>
      <c r="DD140" s="16114"/>
      <c r="DE140" s="16115"/>
      <c r="DF140" s="16113"/>
      <c r="DG140" s="16114"/>
      <c r="DH140" s="16114"/>
      <c r="DI140" s="16114"/>
      <c r="DJ140" s="16114"/>
      <c r="DK140" s="16114"/>
      <c r="DL140" s="16114"/>
      <c r="DM140" s="16114"/>
      <c r="DN140" s="16114"/>
      <c r="DO140" s="16114"/>
      <c r="DP140" s="16115"/>
      <c r="DQ140" s="16113"/>
      <c r="DR140" s="16114"/>
      <c r="DS140" s="16114"/>
      <c r="DT140" s="16114"/>
      <c r="DU140" s="16114"/>
      <c r="DV140" s="16114"/>
      <c r="DW140" s="16114"/>
      <c r="DX140" s="16114"/>
      <c r="DY140" s="16114"/>
      <c r="DZ140" s="16114"/>
      <c r="EA140" s="16115"/>
      <c r="EB140" s="16113"/>
      <c r="EC140" s="16114"/>
      <c r="ED140" s="16114"/>
      <c r="EE140" s="16114"/>
      <c r="EF140" s="16114"/>
      <c r="EG140" s="16114"/>
      <c r="EH140" s="16114"/>
      <c r="EI140" s="16114"/>
      <c r="EJ140" s="16114"/>
      <c r="EK140" s="16114"/>
      <c r="EL140" s="16115"/>
      <c r="EM140" s="16113"/>
      <c r="EN140" s="16114"/>
      <c r="EO140" s="16114"/>
      <c r="EP140" s="16114"/>
      <c r="EQ140" s="16114"/>
      <c r="ER140" s="16114"/>
      <c r="ES140" s="16114"/>
      <c r="ET140" s="16114"/>
      <c r="EU140" s="16114"/>
      <c r="EV140" s="16114"/>
      <c r="EW140" s="16115"/>
      <c r="EX140" s="16115"/>
      <c r="EY140" s="2519" t="s">
        <v>620</v>
      </c>
      <c r="EZ140" s="2199"/>
      <c r="FA140" s="2512"/>
      <c r="FB140" s="2512" t="str">
        <f t="shared" si="2"/>
        <v>Группа потребителей</v>
      </c>
      <c r="FC140" s="2512"/>
      <c r="FD140" s="2512"/>
    </row>
    <row r="141" spans="1:160" s="14913" customFormat="1" ht="23.25" customHeight="1">
      <c r="A141" s="2502"/>
      <c r="B141" s="2502"/>
      <c r="C141" s="2502"/>
      <c r="D141" s="2502"/>
      <c r="E141" s="16125"/>
      <c r="F141" s="16125"/>
      <c r="G141" s="16125" t="s">
        <v>102</v>
      </c>
      <c r="H141" s="16125"/>
      <c r="I141" s="16145"/>
      <c r="J141" s="16145"/>
      <c r="K141" s="16122" t="str">
        <f>J140&amp;".1"</f>
        <v>1.8.3.1.1.1</v>
      </c>
      <c r="L141" s="2503"/>
      <c r="M141" s="2513"/>
      <c r="N141" s="2513"/>
      <c r="O141" s="2513"/>
      <c r="P141" s="16123"/>
      <c r="Q141" s="16123"/>
      <c r="R141" s="2517">
        <v>1</v>
      </c>
      <c r="S141" s="2508" t="str">
        <f>$K141</f>
        <v>1.8.3.1.1.1</v>
      </c>
      <c r="T141" s="2520"/>
      <c r="U141" s="2510"/>
      <c r="V141" s="1893"/>
      <c r="W141" s="1893"/>
      <c r="X141" s="1893"/>
      <c r="Y141" s="1893"/>
      <c r="Z141" s="1893"/>
      <c r="AA141" s="1893"/>
      <c r="AB141" s="1893"/>
      <c r="AC141" s="16127"/>
      <c r="AD141" s="15973" t="s">
        <v>66</v>
      </c>
      <c r="AE141" s="16127"/>
      <c r="AF141" s="15973" t="s">
        <v>66</v>
      </c>
      <c r="AG141" s="1893">
        <v>24.42</v>
      </c>
      <c r="AH141" s="1893"/>
      <c r="AI141" s="1893"/>
      <c r="AJ141" s="1893"/>
      <c r="AK141" s="1893">
        <v>2247.0100000000002</v>
      </c>
      <c r="AL141" s="1893"/>
      <c r="AM141" s="1893"/>
      <c r="AN141" s="16127">
        <v>45292</v>
      </c>
      <c r="AO141" s="15973" t="s">
        <v>66</v>
      </c>
      <c r="AP141" s="16146">
        <v>45378</v>
      </c>
      <c r="AQ141" s="15973" t="s">
        <v>66</v>
      </c>
      <c r="AR141" s="1893">
        <v>24.42</v>
      </c>
      <c r="AS141" s="1893"/>
      <c r="AT141" s="1893"/>
      <c r="AU141" s="1893"/>
      <c r="AV141" s="1893">
        <v>2247.0100000000002</v>
      </c>
      <c r="AW141" s="1893"/>
      <c r="AX141" s="1893"/>
      <c r="AY141" s="16127">
        <v>45379</v>
      </c>
      <c r="AZ141" s="15973" t="s">
        <v>66</v>
      </c>
      <c r="BA141" s="16127">
        <v>45473</v>
      </c>
      <c r="BB141" s="15973" t="s">
        <v>66</v>
      </c>
      <c r="BC141" s="1893">
        <v>28.08</v>
      </c>
      <c r="BD141" s="1893"/>
      <c r="BE141" s="1893"/>
      <c r="BF141" s="1893"/>
      <c r="BG141" s="1893">
        <v>2523.39</v>
      </c>
      <c r="BH141" s="1893"/>
      <c r="BI141" s="1893"/>
      <c r="BJ141" s="16127">
        <v>45474</v>
      </c>
      <c r="BK141" s="15973" t="s">
        <v>66</v>
      </c>
      <c r="BL141" s="16127">
        <v>45657</v>
      </c>
      <c r="BM141" s="15973" t="s">
        <v>66</v>
      </c>
      <c r="BN141" s="1893">
        <v>25.57</v>
      </c>
      <c r="BO141" s="1893"/>
      <c r="BP141" s="1893"/>
      <c r="BQ141" s="1893"/>
      <c r="BR141" s="1893">
        <v>2523.39</v>
      </c>
      <c r="BS141" s="1893"/>
      <c r="BT141" s="1893"/>
      <c r="BU141" s="16127">
        <v>45658</v>
      </c>
      <c r="BV141" s="15973" t="s">
        <v>66</v>
      </c>
      <c r="BW141" s="16127">
        <v>45838</v>
      </c>
      <c r="BX141" s="15973" t="s">
        <v>66</v>
      </c>
      <c r="BY141" s="1893">
        <v>26.59</v>
      </c>
      <c r="BZ141" s="1893"/>
      <c r="CA141" s="1893"/>
      <c r="CB141" s="1893"/>
      <c r="CC141" s="1893">
        <v>2629.37</v>
      </c>
      <c r="CD141" s="1893"/>
      <c r="CE141" s="1893"/>
      <c r="CF141" s="16127">
        <v>45839</v>
      </c>
      <c r="CG141" s="15973" t="s">
        <v>66</v>
      </c>
      <c r="CH141" s="16127">
        <v>46022</v>
      </c>
      <c r="CI141" s="15973" t="s">
        <v>66</v>
      </c>
      <c r="CJ141" s="1893">
        <v>26.59</v>
      </c>
      <c r="CK141" s="1893"/>
      <c r="CL141" s="1893"/>
      <c r="CM141" s="1893"/>
      <c r="CN141" s="1893">
        <v>2629.37</v>
      </c>
      <c r="CO141" s="1893"/>
      <c r="CP141" s="1893"/>
      <c r="CQ141" s="16127">
        <v>46023</v>
      </c>
      <c r="CR141" s="15973" t="s">
        <v>66</v>
      </c>
      <c r="CS141" s="16127">
        <v>46203</v>
      </c>
      <c r="CT141" s="15973" t="s">
        <v>66</v>
      </c>
      <c r="CU141" s="1893">
        <v>27.66</v>
      </c>
      <c r="CV141" s="1893"/>
      <c r="CW141" s="1893"/>
      <c r="CX141" s="1893"/>
      <c r="CY141" s="1893">
        <v>2734.54</v>
      </c>
      <c r="CZ141" s="1893"/>
      <c r="DA141" s="1893"/>
      <c r="DB141" s="16127">
        <v>46204</v>
      </c>
      <c r="DC141" s="15973" t="s">
        <v>66</v>
      </c>
      <c r="DD141" s="16127">
        <v>46387</v>
      </c>
      <c r="DE141" s="15973" t="s">
        <v>66</v>
      </c>
      <c r="DF141" s="1893">
        <v>27.66</v>
      </c>
      <c r="DG141" s="1893"/>
      <c r="DH141" s="1893"/>
      <c r="DI141" s="1893"/>
      <c r="DJ141" s="1893">
        <v>2734.54</v>
      </c>
      <c r="DK141" s="1893"/>
      <c r="DL141" s="1893"/>
      <c r="DM141" s="16127">
        <v>46388</v>
      </c>
      <c r="DN141" s="15973" t="s">
        <v>66</v>
      </c>
      <c r="DO141" s="16127">
        <v>46568</v>
      </c>
      <c r="DP141" s="15973" t="s">
        <v>66</v>
      </c>
      <c r="DQ141" s="1893">
        <v>28.76</v>
      </c>
      <c r="DR141" s="1893"/>
      <c r="DS141" s="1893"/>
      <c r="DT141" s="1893"/>
      <c r="DU141" s="1893">
        <v>2843.92</v>
      </c>
      <c r="DV141" s="1893"/>
      <c r="DW141" s="1893"/>
      <c r="DX141" s="16127">
        <v>46569</v>
      </c>
      <c r="DY141" s="15973" t="s">
        <v>66</v>
      </c>
      <c r="DZ141" s="16127">
        <v>46752</v>
      </c>
      <c r="EA141" s="15973" t="s">
        <v>66</v>
      </c>
      <c r="EB141" s="1893">
        <v>28.76</v>
      </c>
      <c r="EC141" s="1893"/>
      <c r="ED141" s="1893"/>
      <c r="EE141" s="1893"/>
      <c r="EF141" s="1893">
        <v>2843.92</v>
      </c>
      <c r="EG141" s="1893"/>
      <c r="EH141" s="1893"/>
      <c r="EI141" s="16127">
        <v>46753</v>
      </c>
      <c r="EJ141" s="15973" t="s">
        <v>66</v>
      </c>
      <c r="EK141" s="16127">
        <v>46934</v>
      </c>
      <c r="EL141" s="15973" t="s">
        <v>66</v>
      </c>
      <c r="EM141" s="14448">
        <v>29.91</v>
      </c>
      <c r="EN141" s="14448"/>
      <c r="EO141" s="14448"/>
      <c r="EP141" s="14448"/>
      <c r="EQ141" s="14448">
        <v>2957.68</v>
      </c>
      <c r="ER141" s="14448"/>
      <c r="ES141" s="14448"/>
      <c r="ET141" s="16127">
        <v>46935</v>
      </c>
      <c r="EU141" s="15973" t="s">
        <v>66</v>
      </c>
      <c r="EV141" s="16127">
        <v>47118</v>
      </c>
      <c r="EW141" s="15973" t="s">
        <v>66</v>
      </c>
      <c r="EX141" s="2521"/>
      <c r="EY14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41" s="2199" t="e">
        <f ca="1">STRCHECKDATE(V142:EX142)</f>
        <v>#NAME?</v>
      </c>
      <c r="FA141" s="2512"/>
      <c r="FB141" s="2512" t="str">
        <f t="shared" si="2"/>
        <v/>
      </c>
      <c r="FC141" s="2512"/>
      <c r="FD141" s="2512"/>
    </row>
    <row r="142" spans="1:160" s="14914" customFormat="1" ht="14.25" customHeight="1">
      <c r="A142" s="2502"/>
      <c r="B142" s="2502"/>
      <c r="C142" s="2502"/>
      <c r="D142" s="2502"/>
      <c r="E142" s="16125"/>
      <c r="F142" s="16125"/>
      <c r="G142" s="16125" t="s">
        <v>102</v>
      </c>
      <c r="H142" s="16125"/>
      <c r="I142" s="16145"/>
      <c r="J142" s="16145"/>
      <c r="K142" s="16122"/>
      <c r="L142" s="2503"/>
      <c r="M142" s="2513"/>
      <c r="N142" s="2513"/>
      <c r="O142" s="2513"/>
      <c r="P142" s="16123"/>
      <c r="Q142" s="16123"/>
      <c r="R142" s="2517"/>
      <c r="S142" s="2522"/>
      <c r="T142" s="2510"/>
      <c r="U142" s="2510"/>
      <c r="V142" s="1894"/>
      <c r="W142" s="1894"/>
      <c r="X142" s="1894"/>
      <c r="Y142" s="1894"/>
      <c r="Z142" s="1894"/>
      <c r="AA142" s="1894"/>
      <c r="AB142" s="1894"/>
      <c r="AC142" s="16128"/>
      <c r="AD142" s="15973"/>
      <c r="AE142" s="16128"/>
      <c r="AF142" s="15973"/>
      <c r="AG142" s="1894"/>
      <c r="AH142" s="1894"/>
      <c r="AI142" s="1894"/>
      <c r="AJ142" s="1894"/>
      <c r="AK142" s="1894"/>
      <c r="AL142" s="1894"/>
      <c r="AM142" s="1894"/>
      <c r="AN142" s="16128"/>
      <c r="AO142" s="15973"/>
      <c r="AP142" s="16147"/>
      <c r="AQ142" s="15973"/>
      <c r="AR142" s="1894"/>
      <c r="AS142" s="1894"/>
      <c r="AT142" s="1894"/>
      <c r="AU142" s="1894"/>
      <c r="AV142" s="1894"/>
      <c r="AW142" s="1894"/>
      <c r="AX142" s="1894"/>
      <c r="AY142" s="16128"/>
      <c r="AZ142" s="15973"/>
      <c r="BA142" s="16128"/>
      <c r="BB142" s="15973"/>
      <c r="BC142" s="1894"/>
      <c r="BD142" s="1894"/>
      <c r="BE142" s="1894"/>
      <c r="BF142" s="1894"/>
      <c r="BG142" s="1894"/>
      <c r="BH142" s="1894"/>
      <c r="BI142" s="1894"/>
      <c r="BJ142" s="16128"/>
      <c r="BK142" s="15973"/>
      <c r="BL142" s="16128"/>
      <c r="BM142" s="15973"/>
      <c r="BN142" s="1894"/>
      <c r="BO142" s="1894"/>
      <c r="BP142" s="1894"/>
      <c r="BQ142" s="1894"/>
      <c r="BR142" s="1894"/>
      <c r="BS142" s="1894"/>
      <c r="BT142" s="1894"/>
      <c r="BU142" s="16128"/>
      <c r="BV142" s="15973"/>
      <c r="BW142" s="16128"/>
      <c r="BX142" s="15973"/>
      <c r="BY142" s="1894"/>
      <c r="BZ142" s="1894"/>
      <c r="CA142" s="1894"/>
      <c r="CB142" s="1894"/>
      <c r="CC142" s="1894"/>
      <c r="CD142" s="1894"/>
      <c r="CE142" s="1894"/>
      <c r="CF142" s="16128"/>
      <c r="CG142" s="15973"/>
      <c r="CH142" s="16128"/>
      <c r="CI142" s="15973"/>
      <c r="CJ142" s="1894"/>
      <c r="CK142" s="1894"/>
      <c r="CL142" s="1894"/>
      <c r="CM142" s="1894"/>
      <c r="CN142" s="1894"/>
      <c r="CO142" s="1894"/>
      <c r="CP142" s="1894"/>
      <c r="CQ142" s="16128"/>
      <c r="CR142" s="15973"/>
      <c r="CS142" s="16128"/>
      <c r="CT142" s="15973"/>
      <c r="CU142" s="1894"/>
      <c r="CV142" s="1894"/>
      <c r="CW142" s="1894"/>
      <c r="CX142" s="1894"/>
      <c r="CY142" s="1894"/>
      <c r="CZ142" s="1894"/>
      <c r="DA142" s="1894"/>
      <c r="DB142" s="16128"/>
      <c r="DC142" s="15973"/>
      <c r="DD142" s="16128"/>
      <c r="DE142" s="15973"/>
      <c r="DF142" s="1894"/>
      <c r="DG142" s="1894"/>
      <c r="DH142" s="1894"/>
      <c r="DI142" s="1894"/>
      <c r="DJ142" s="1894"/>
      <c r="DK142" s="1894"/>
      <c r="DL142" s="1894"/>
      <c r="DM142" s="16128"/>
      <c r="DN142" s="15973"/>
      <c r="DO142" s="16128"/>
      <c r="DP142" s="15973"/>
      <c r="DQ142" s="1894"/>
      <c r="DR142" s="1894"/>
      <c r="DS142" s="1894"/>
      <c r="DT142" s="1894"/>
      <c r="DU142" s="1894"/>
      <c r="DV142" s="1894"/>
      <c r="DW142" s="1894"/>
      <c r="DX142" s="16128"/>
      <c r="DY142" s="15973"/>
      <c r="DZ142" s="16128"/>
      <c r="EA142" s="15973"/>
      <c r="EB142" s="1894"/>
      <c r="EC142" s="1894"/>
      <c r="ED142" s="1894"/>
      <c r="EE142" s="1894"/>
      <c r="EF142" s="1894"/>
      <c r="EG142" s="1894"/>
      <c r="EH142" s="1894"/>
      <c r="EI142" s="16128"/>
      <c r="EJ142" s="15973"/>
      <c r="EK142" s="16128"/>
      <c r="EL142" s="15973"/>
      <c r="EM142" s="14449"/>
      <c r="EN142" s="14449"/>
      <c r="EO142" s="14449"/>
      <c r="EP142" s="14449"/>
      <c r="EQ142" s="14449"/>
      <c r="ER142" s="14449"/>
      <c r="ES142" s="14449"/>
      <c r="ET142" s="16128"/>
      <c r="EU142" s="15973"/>
      <c r="EV142" s="16128"/>
      <c r="EW142" s="15973"/>
      <c r="EX142" s="2523"/>
      <c r="EY142" s="16182"/>
      <c r="EZ142" s="2199"/>
      <c r="FA142" s="2512"/>
      <c r="FB142" s="2512" t="str">
        <f t="shared" si="2"/>
        <v/>
      </c>
      <c r="FC142" s="2512"/>
      <c r="FD142" s="2512"/>
    </row>
    <row r="143" spans="1:160" s="14915" customFormat="1" ht="21" customHeight="1">
      <c r="A143" s="2502"/>
      <c r="B143" s="2502"/>
      <c r="C143" s="2502"/>
      <c r="D143" s="2502"/>
      <c r="E143" s="16125"/>
      <c r="F143" s="16125"/>
      <c r="G143" s="16125" t="s">
        <v>102</v>
      </c>
      <c r="H143" s="16125"/>
      <c r="I143" s="16145"/>
      <c r="J143" s="16122"/>
      <c r="K143" s="2502"/>
      <c r="L143" s="2503"/>
      <c r="M143" s="2513"/>
      <c r="N143" s="2513"/>
      <c r="O143" s="2513"/>
      <c r="P143" s="16123"/>
      <c r="Q143" s="16123"/>
      <c r="R143" s="2515"/>
      <c r="S143" s="5929"/>
      <c r="T143" s="5930" t="s">
        <v>621</v>
      </c>
      <c r="U143" s="5931"/>
      <c r="V143" s="5932"/>
      <c r="W143" s="5933"/>
      <c r="X143" s="5934"/>
      <c r="Y143" s="5935"/>
      <c r="Z143" s="5936"/>
      <c r="AA143" s="5937"/>
      <c r="AB143" s="5938"/>
      <c r="AC143" s="5939"/>
      <c r="AD143" s="5940"/>
      <c r="AE143" s="5941"/>
      <c r="AF143" s="5942"/>
      <c r="AG143" s="5943"/>
      <c r="AH143" s="5944"/>
      <c r="AI143" s="5945"/>
      <c r="AJ143" s="5946"/>
      <c r="AK143" s="5947"/>
      <c r="AL143" s="5948"/>
      <c r="AM143" s="5949"/>
      <c r="AN143" s="5950"/>
      <c r="AO143" s="5951"/>
      <c r="AP143" s="5952"/>
      <c r="AQ143" s="5953"/>
      <c r="AR143" s="5954"/>
      <c r="AS143" s="5955"/>
      <c r="AT143" s="5956"/>
      <c r="AU143" s="5957"/>
      <c r="AV143" s="5958"/>
      <c r="AW143" s="5959"/>
      <c r="AX143" s="5960"/>
      <c r="AY143" s="5961"/>
      <c r="AZ143" s="5962"/>
      <c r="BA143" s="5963"/>
      <c r="BB143" s="5964"/>
      <c r="BC143" s="5965"/>
      <c r="BD143" s="5966"/>
      <c r="BE143" s="5967"/>
      <c r="BF143" s="5968"/>
      <c r="BG143" s="5969"/>
      <c r="BH143" s="5970"/>
      <c r="BI143" s="5971"/>
      <c r="BJ143" s="5972"/>
      <c r="BK143" s="5973"/>
      <c r="BL143" s="5974"/>
      <c r="BM143" s="5975"/>
      <c r="BN143" s="5976"/>
      <c r="BO143" s="5977"/>
      <c r="BP143" s="5978"/>
      <c r="BQ143" s="5979"/>
      <c r="BR143" s="5980"/>
      <c r="BS143" s="5981"/>
      <c r="BT143" s="5982"/>
      <c r="BU143" s="5983"/>
      <c r="BV143" s="5984"/>
      <c r="BW143" s="5985"/>
      <c r="BX143" s="5986"/>
      <c r="BY143" s="5987"/>
      <c r="BZ143" s="5988"/>
      <c r="CA143" s="5989"/>
      <c r="CB143" s="5990"/>
      <c r="CC143" s="5991"/>
      <c r="CD143" s="5992"/>
      <c r="CE143" s="5993"/>
      <c r="CF143" s="5994"/>
      <c r="CG143" s="5995"/>
      <c r="CH143" s="5996"/>
      <c r="CI143" s="5997"/>
      <c r="CJ143" s="5998"/>
      <c r="CK143" s="5999"/>
      <c r="CL143" s="6000"/>
      <c r="CM143" s="6001"/>
      <c r="CN143" s="6002"/>
      <c r="CO143" s="6003"/>
      <c r="CP143" s="6004"/>
      <c r="CQ143" s="6005"/>
      <c r="CR143" s="6006"/>
      <c r="CS143" s="6007"/>
      <c r="CT143" s="6008"/>
      <c r="CU143" s="6009"/>
      <c r="CV143" s="6010"/>
      <c r="CW143" s="6011"/>
      <c r="CX143" s="6012"/>
      <c r="CY143" s="6013"/>
      <c r="CZ143" s="6014"/>
      <c r="DA143" s="6015"/>
      <c r="DB143" s="6016"/>
      <c r="DC143" s="6017"/>
      <c r="DD143" s="6018"/>
      <c r="DE143" s="6019"/>
      <c r="DF143" s="6020"/>
      <c r="DG143" s="6021"/>
      <c r="DH143" s="6022"/>
      <c r="DI143" s="6023"/>
      <c r="DJ143" s="6024"/>
      <c r="DK143" s="6025"/>
      <c r="DL143" s="6026"/>
      <c r="DM143" s="6027"/>
      <c r="DN143" s="6028"/>
      <c r="DO143" s="6029"/>
      <c r="DP143" s="6030"/>
      <c r="DQ143" s="6031"/>
      <c r="DR143" s="6032"/>
      <c r="DS143" s="6033"/>
      <c r="DT143" s="6034"/>
      <c r="DU143" s="6035"/>
      <c r="DV143" s="6036"/>
      <c r="DW143" s="6037"/>
      <c r="DX143" s="6038"/>
      <c r="DY143" s="6039"/>
      <c r="DZ143" s="6040"/>
      <c r="EA143" s="6041"/>
      <c r="EB143" s="6042"/>
      <c r="EC143" s="6043"/>
      <c r="ED143" s="6044"/>
      <c r="EE143" s="6045"/>
      <c r="EF143" s="6046"/>
      <c r="EG143" s="6047"/>
      <c r="EH143" s="6048"/>
      <c r="EI143" s="6049"/>
      <c r="EJ143" s="6050"/>
      <c r="EK143" s="6051"/>
      <c r="EL143" s="6052"/>
      <c r="EM143" s="14916"/>
      <c r="EN143" s="14917"/>
      <c r="EO143" s="14918"/>
      <c r="EP143" s="14919"/>
      <c r="EQ143" s="14920"/>
      <c r="ER143" s="14921"/>
      <c r="ES143" s="14922"/>
      <c r="ET143" s="14923"/>
      <c r="EU143" s="14924"/>
      <c r="EV143" s="14925"/>
      <c r="EW143" s="14926"/>
      <c r="EX143" s="6053"/>
      <c r="EY143" s="2511" t="s">
        <v>622</v>
      </c>
      <c r="EZ143" s="2199"/>
      <c r="FA143" s="2512"/>
      <c r="FB143" s="2512" t="str">
        <f t="shared" si="2"/>
        <v>Добавить значение признака дифференциации</v>
      </c>
      <c r="FC143" s="2512"/>
      <c r="FD143" s="2512"/>
    </row>
    <row r="144" spans="1:160" s="14927" customFormat="1" ht="21" customHeight="1">
      <c r="A144" s="2502"/>
      <c r="B144" s="2502"/>
      <c r="C144" s="2502"/>
      <c r="D144" s="2502"/>
      <c r="E144" s="16125"/>
      <c r="F144" s="16125"/>
      <c r="G144" s="16125" t="s">
        <v>102</v>
      </c>
      <c r="H144" s="16125"/>
      <c r="I144" s="16122"/>
      <c r="J144" s="2502"/>
      <c r="K144" s="2502"/>
      <c r="L144" s="2503"/>
      <c r="M144" s="2513"/>
      <c r="N144" s="2513"/>
      <c r="O144" s="2513"/>
      <c r="P144" s="16123"/>
      <c r="Q144" s="2514"/>
      <c r="R144" s="2515"/>
      <c r="S144" s="6054"/>
      <c r="T144" s="6055" t="s">
        <v>549</v>
      </c>
      <c r="U144" s="6056"/>
      <c r="V144" s="6057"/>
      <c r="W144" s="6058"/>
      <c r="X144" s="6059"/>
      <c r="Y144" s="6060"/>
      <c r="Z144" s="6061"/>
      <c r="AA144" s="6062"/>
      <c r="AB144" s="6063"/>
      <c r="AC144" s="6064"/>
      <c r="AD144" s="6065"/>
      <c r="AE144" s="6066"/>
      <c r="AF144" s="6067"/>
      <c r="AG144" s="6068"/>
      <c r="AH144" s="6069"/>
      <c r="AI144" s="6070"/>
      <c r="AJ144" s="6071"/>
      <c r="AK144" s="6072"/>
      <c r="AL144" s="6073"/>
      <c r="AM144" s="6074"/>
      <c r="AN144" s="6075"/>
      <c r="AO144" s="6076"/>
      <c r="AP144" s="6077"/>
      <c r="AQ144" s="6078"/>
      <c r="AR144" s="6079"/>
      <c r="AS144" s="6080"/>
      <c r="AT144" s="6081"/>
      <c r="AU144" s="6082"/>
      <c r="AV144" s="6083"/>
      <c r="AW144" s="6084"/>
      <c r="AX144" s="6085"/>
      <c r="AY144" s="6086"/>
      <c r="AZ144" s="6087"/>
      <c r="BA144" s="6088"/>
      <c r="BB144" s="6089"/>
      <c r="BC144" s="6090"/>
      <c r="BD144" s="6091"/>
      <c r="BE144" s="6092"/>
      <c r="BF144" s="6093"/>
      <c r="BG144" s="6094"/>
      <c r="BH144" s="6095"/>
      <c r="BI144" s="6096"/>
      <c r="BJ144" s="6097"/>
      <c r="BK144" s="6098"/>
      <c r="BL144" s="6099"/>
      <c r="BM144" s="6100"/>
      <c r="BN144" s="6101"/>
      <c r="BO144" s="6102"/>
      <c r="BP144" s="6103"/>
      <c r="BQ144" s="6104"/>
      <c r="BR144" s="6105"/>
      <c r="BS144" s="6106"/>
      <c r="BT144" s="6107"/>
      <c r="BU144" s="6108"/>
      <c r="BV144" s="6109"/>
      <c r="BW144" s="6110"/>
      <c r="BX144" s="6111"/>
      <c r="BY144" s="6112"/>
      <c r="BZ144" s="6113"/>
      <c r="CA144" s="6114"/>
      <c r="CB144" s="6115"/>
      <c r="CC144" s="6116"/>
      <c r="CD144" s="6117"/>
      <c r="CE144" s="6118"/>
      <c r="CF144" s="6119"/>
      <c r="CG144" s="6120"/>
      <c r="CH144" s="6121"/>
      <c r="CI144" s="6122"/>
      <c r="CJ144" s="6123"/>
      <c r="CK144" s="6124"/>
      <c r="CL144" s="6125"/>
      <c r="CM144" s="6126"/>
      <c r="CN144" s="6127"/>
      <c r="CO144" s="6128"/>
      <c r="CP144" s="6129"/>
      <c r="CQ144" s="6130"/>
      <c r="CR144" s="6131"/>
      <c r="CS144" s="6132"/>
      <c r="CT144" s="6133"/>
      <c r="CU144" s="6134"/>
      <c r="CV144" s="6135"/>
      <c r="CW144" s="6136"/>
      <c r="CX144" s="6137"/>
      <c r="CY144" s="6138"/>
      <c r="CZ144" s="6139"/>
      <c r="DA144" s="6140"/>
      <c r="DB144" s="6141"/>
      <c r="DC144" s="6142"/>
      <c r="DD144" s="6143"/>
      <c r="DE144" s="6144"/>
      <c r="DF144" s="6145"/>
      <c r="DG144" s="6146"/>
      <c r="DH144" s="6147"/>
      <c r="DI144" s="6148"/>
      <c r="DJ144" s="6149"/>
      <c r="DK144" s="6150"/>
      <c r="DL144" s="6151"/>
      <c r="DM144" s="6152"/>
      <c r="DN144" s="6153"/>
      <c r="DO144" s="6154"/>
      <c r="DP144" s="6155"/>
      <c r="DQ144" s="6156"/>
      <c r="DR144" s="6157"/>
      <c r="DS144" s="6158"/>
      <c r="DT144" s="6159"/>
      <c r="DU144" s="6160"/>
      <c r="DV144" s="6161"/>
      <c r="DW144" s="6162"/>
      <c r="DX144" s="6163"/>
      <c r="DY144" s="6164"/>
      <c r="DZ144" s="6165"/>
      <c r="EA144" s="6166"/>
      <c r="EB144" s="6167"/>
      <c r="EC144" s="6168"/>
      <c r="ED144" s="6169"/>
      <c r="EE144" s="6170"/>
      <c r="EF144" s="6171"/>
      <c r="EG144" s="6172"/>
      <c r="EH144" s="6173"/>
      <c r="EI144" s="6174"/>
      <c r="EJ144" s="6175"/>
      <c r="EK144" s="6176"/>
      <c r="EL144" s="6177"/>
      <c r="EM144" s="14928"/>
      <c r="EN144" s="14929"/>
      <c r="EO144" s="14930"/>
      <c r="EP144" s="14931"/>
      <c r="EQ144" s="14932"/>
      <c r="ER144" s="14933"/>
      <c r="ES144" s="14934"/>
      <c r="ET144" s="14935"/>
      <c r="EU144" s="14936"/>
      <c r="EV144" s="14937"/>
      <c r="EW144" s="14938"/>
      <c r="EX144" s="6178"/>
      <c r="EY144" s="6179"/>
      <c r="EZ144" s="2199"/>
      <c r="FA144" s="2512"/>
      <c r="FB144" s="2512" t="str">
        <f t="shared" si="2"/>
        <v>Добавить группу потребителей</v>
      </c>
      <c r="FC144" s="2512"/>
      <c r="FD144" s="2512"/>
    </row>
    <row r="145" spans="1:160" s="14939" customFormat="1" ht="21" customHeight="1">
      <c r="A145" s="2502"/>
      <c r="B145" s="2502"/>
      <c r="C145" s="2502"/>
      <c r="D145" s="2502"/>
      <c r="E145" s="16125"/>
      <c r="F145" s="16125"/>
      <c r="G145" s="16125" t="s">
        <v>102</v>
      </c>
      <c r="H145" s="16124"/>
      <c r="I145" s="2502"/>
      <c r="J145" s="2502"/>
      <c r="K145" s="2502"/>
      <c r="L145" s="2503"/>
      <c r="M145" s="2504"/>
      <c r="N145" s="2504"/>
      <c r="O145" s="2193"/>
      <c r="P145" s="2775"/>
      <c r="Q145" s="2776"/>
      <c r="R145" s="2777"/>
      <c r="S145" s="6180"/>
      <c r="T145" s="6181" t="s">
        <v>623</v>
      </c>
      <c r="U145" s="6182"/>
      <c r="V145" s="6183"/>
      <c r="W145" s="6184"/>
      <c r="X145" s="6185"/>
      <c r="Y145" s="6186"/>
      <c r="Z145" s="6187"/>
      <c r="AA145" s="6188"/>
      <c r="AB145" s="6189"/>
      <c r="AC145" s="6190"/>
      <c r="AD145" s="6191"/>
      <c r="AE145" s="6192"/>
      <c r="AF145" s="6193"/>
      <c r="AG145" s="6194"/>
      <c r="AH145" s="6195"/>
      <c r="AI145" s="6196"/>
      <c r="AJ145" s="6197"/>
      <c r="AK145" s="6198"/>
      <c r="AL145" s="6199"/>
      <c r="AM145" s="6200"/>
      <c r="AN145" s="6201"/>
      <c r="AO145" s="6202"/>
      <c r="AP145" s="6203"/>
      <c r="AQ145" s="6204"/>
      <c r="AR145" s="6205"/>
      <c r="AS145" s="6206"/>
      <c r="AT145" s="6207"/>
      <c r="AU145" s="6208"/>
      <c r="AV145" s="6209"/>
      <c r="AW145" s="6210"/>
      <c r="AX145" s="6211"/>
      <c r="AY145" s="6212"/>
      <c r="AZ145" s="6213"/>
      <c r="BA145" s="6214"/>
      <c r="BB145" s="6215"/>
      <c r="BC145" s="6216"/>
      <c r="BD145" s="6217"/>
      <c r="BE145" s="6218"/>
      <c r="BF145" s="6219"/>
      <c r="BG145" s="6220"/>
      <c r="BH145" s="6221"/>
      <c r="BI145" s="6222"/>
      <c r="BJ145" s="6223"/>
      <c r="BK145" s="6224"/>
      <c r="BL145" s="6225"/>
      <c r="BM145" s="6226"/>
      <c r="BN145" s="6227"/>
      <c r="BO145" s="6228"/>
      <c r="BP145" s="6229"/>
      <c r="BQ145" s="6230"/>
      <c r="BR145" s="6231"/>
      <c r="BS145" s="6232"/>
      <c r="BT145" s="6233"/>
      <c r="BU145" s="6234"/>
      <c r="BV145" s="6235"/>
      <c r="BW145" s="6236"/>
      <c r="BX145" s="6237"/>
      <c r="BY145" s="6238"/>
      <c r="BZ145" s="6239"/>
      <c r="CA145" s="6240"/>
      <c r="CB145" s="6241"/>
      <c r="CC145" s="6242"/>
      <c r="CD145" s="6243"/>
      <c r="CE145" s="6244"/>
      <c r="CF145" s="6245"/>
      <c r="CG145" s="6246"/>
      <c r="CH145" s="6247"/>
      <c r="CI145" s="6248"/>
      <c r="CJ145" s="6249"/>
      <c r="CK145" s="6250"/>
      <c r="CL145" s="6251"/>
      <c r="CM145" s="6252"/>
      <c r="CN145" s="6253"/>
      <c r="CO145" s="6254"/>
      <c r="CP145" s="6255"/>
      <c r="CQ145" s="6256"/>
      <c r="CR145" s="6257"/>
      <c r="CS145" s="6258"/>
      <c r="CT145" s="6259"/>
      <c r="CU145" s="6260"/>
      <c r="CV145" s="6261"/>
      <c r="CW145" s="6262"/>
      <c r="CX145" s="6263"/>
      <c r="CY145" s="6264"/>
      <c r="CZ145" s="6265"/>
      <c r="DA145" s="6266"/>
      <c r="DB145" s="6267"/>
      <c r="DC145" s="6268"/>
      <c r="DD145" s="6269"/>
      <c r="DE145" s="6270"/>
      <c r="DF145" s="6271"/>
      <c r="DG145" s="6272"/>
      <c r="DH145" s="6273"/>
      <c r="DI145" s="6274"/>
      <c r="DJ145" s="6275"/>
      <c r="DK145" s="6276"/>
      <c r="DL145" s="6277"/>
      <c r="DM145" s="6278"/>
      <c r="DN145" s="6279"/>
      <c r="DO145" s="6280"/>
      <c r="DP145" s="6281"/>
      <c r="DQ145" s="6282"/>
      <c r="DR145" s="6283"/>
      <c r="DS145" s="6284"/>
      <c r="DT145" s="6285"/>
      <c r="DU145" s="6286"/>
      <c r="DV145" s="6287"/>
      <c r="DW145" s="6288"/>
      <c r="DX145" s="6289"/>
      <c r="DY145" s="6290"/>
      <c r="DZ145" s="6291"/>
      <c r="EA145" s="6292"/>
      <c r="EB145" s="6293"/>
      <c r="EC145" s="6294"/>
      <c r="ED145" s="6295"/>
      <c r="EE145" s="6296"/>
      <c r="EF145" s="6297"/>
      <c r="EG145" s="6298"/>
      <c r="EH145" s="6299"/>
      <c r="EI145" s="6300"/>
      <c r="EJ145" s="6301"/>
      <c r="EK145" s="6302"/>
      <c r="EL145" s="6303"/>
      <c r="EM145" s="14940"/>
      <c r="EN145" s="14941"/>
      <c r="EO145" s="14942"/>
      <c r="EP145" s="14943"/>
      <c r="EQ145" s="14944"/>
      <c r="ER145" s="14945"/>
      <c r="ES145" s="14946"/>
      <c r="ET145" s="14947"/>
      <c r="EU145" s="14948"/>
      <c r="EV145" s="14949"/>
      <c r="EW145" s="14950"/>
      <c r="EX145" s="6304"/>
      <c r="EY145" s="6305"/>
      <c r="EZ145" s="2199"/>
      <c r="FA145" s="2512"/>
      <c r="FB145" s="2512" t="str">
        <f t="shared" si="2"/>
        <v>Добавить наименование признака дифференциации</v>
      </c>
      <c r="FC145" s="2512"/>
      <c r="FD145" s="2512"/>
    </row>
    <row r="146" spans="1:160" s="14951" customFormat="1" ht="14.25" customHeight="1">
      <c r="A146" s="3283"/>
      <c r="B146" s="3283"/>
      <c r="C146" s="3283"/>
      <c r="D146" s="3283"/>
      <c r="E146" s="16125"/>
      <c r="F146" s="16124" t="s">
        <v>92</v>
      </c>
      <c r="G146" s="3283"/>
      <c r="H146" s="3283"/>
      <c r="I146" s="3283"/>
      <c r="J146" s="3283"/>
      <c r="K146" s="3283"/>
      <c r="L146" s="3284"/>
      <c r="M146" s="3285"/>
      <c r="N146" s="3285"/>
      <c r="O146" s="2199"/>
      <c r="P146" s="3286"/>
      <c r="Q146" s="3287"/>
      <c r="R146" s="3286"/>
      <c r="S146" s="3288"/>
      <c r="T146" s="3289" t="s">
        <v>290</v>
      </c>
      <c r="U146" s="2192"/>
      <c r="V146" s="2192"/>
      <c r="W146" s="2192"/>
      <c r="X146" s="2192"/>
      <c r="Y146" s="2192"/>
      <c r="Z146" s="2192"/>
      <c r="AA146" s="2192"/>
      <c r="AB146" s="2192"/>
      <c r="AC146" s="2192"/>
      <c r="AD146" s="2192"/>
      <c r="AE146" s="2192"/>
      <c r="AF146" s="2192"/>
      <c r="AG146" s="2192"/>
      <c r="AH146" s="2192"/>
      <c r="AI146" s="2192"/>
      <c r="AJ146" s="2192"/>
      <c r="AK146" s="2192"/>
      <c r="AL146" s="2192"/>
      <c r="AM146" s="2192"/>
      <c r="AN146" s="2192"/>
      <c r="AO146" s="2192"/>
      <c r="AP146" s="2192"/>
      <c r="AQ146" s="2192"/>
      <c r="AR146" s="2192"/>
      <c r="AS146" s="2192"/>
      <c r="AT146" s="2192"/>
      <c r="AU146" s="2192"/>
      <c r="AV146" s="2192"/>
      <c r="AW146" s="2192"/>
      <c r="AX146" s="2192"/>
      <c r="AY146" s="2192"/>
      <c r="AZ146" s="2192"/>
      <c r="BA146" s="2192"/>
      <c r="BB146" s="2192"/>
      <c r="BC146" s="2192"/>
      <c r="BD146" s="2192"/>
      <c r="BE146" s="2192"/>
      <c r="BF146" s="2192"/>
      <c r="BG146" s="2192"/>
      <c r="BH146" s="2192"/>
      <c r="BI146" s="2192"/>
      <c r="BJ146" s="2192"/>
      <c r="BK146" s="2192"/>
      <c r="BL146" s="2192"/>
      <c r="BM146" s="2192"/>
      <c r="BN146" s="2192"/>
      <c r="BO146" s="2192"/>
      <c r="BP146" s="2192"/>
      <c r="BQ146" s="2192"/>
      <c r="BR146" s="2192"/>
      <c r="BS146" s="2192"/>
      <c r="BT146" s="2192"/>
      <c r="BU146" s="2192"/>
      <c r="BV146" s="2192"/>
      <c r="BW146" s="2192"/>
      <c r="BX146" s="2192"/>
      <c r="BY146" s="2192"/>
      <c r="BZ146" s="2192"/>
      <c r="CA146" s="2192"/>
      <c r="CB146" s="2192"/>
      <c r="CC146" s="2192"/>
      <c r="CD146" s="2192"/>
      <c r="CE146" s="2192"/>
      <c r="CF146" s="2192"/>
      <c r="CG146" s="2192"/>
      <c r="CH146" s="2192"/>
      <c r="CI146" s="2192"/>
      <c r="CJ146" s="2192"/>
      <c r="CK146" s="2192"/>
      <c r="CL146" s="2192"/>
      <c r="CM146" s="2192"/>
      <c r="CN146" s="2192"/>
      <c r="CO146" s="2192"/>
      <c r="CP146" s="2192"/>
      <c r="CQ146" s="2192"/>
      <c r="CR146" s="2192"/>
      <c r="CS146" s="2192"/>
      <c r="CT146" s="2192"/>
      <c r="CU146" s="2192"/>
      <c r="CV146" s="2192"/>
      <c r="CW146" s="2192"/>
      <c r="CX146" s="2192"/>
      <c r="CY146" s="2192"/>
      <c r="CZ146" s="2192"/>
      <c r="DA146" s="2192"/>
      <c r="DB146" s="2192"/>
      <c r="DC146" s="2192"/>
      <c r="DD146" s="2192"/>
      <c r="DE146" s="2192"/>
      <c r="DF146" s="2192"/>
      <c r="DG146" s="2192"/>
      <c r="DH146" s="2192"/>
      <c r="DI146" s="2192"/>
      <c r="DJ146" s="2192"/>
      <c r="DK146" s="2192"/>
      <c r="DL146" s="2192"/>
      <c r="DM146" s="2192"/>
      <c r="DN146" s="2192"/>
      <c r="DO146" s="2192"/>
      <c r="DP146" s="2192"/>
      <c r="DQ146" s="2192"/>
      <c r="DR146" s="2192"/>
      <c r="DS146" s="2192"/>
      <c r="DT146" s="2192"/>
      <c r="DU146" s="2192"/>
      <c r="DV146" s="2192"/>
      <c r="DW146" s="2192"/>
      <c r="DX146" s="2192"/>
      <c r="DY146" s="2192"/>
      <c r="DZ146" s="2192"/>
      <c r="EA146" s="2192"/>
      <c r="EB146" s="2192"/>
      <c r="EC146" s="2192"/>
      <c r="ED146" s="2192"/>
      <c r="EE146" s="2192"/>
      <c r="EF146" s="2192"/>
      <c r="EG146" s="2192"/>
      <c r="EH146" s="2192"/>
      <c r="EI146" s="2192"/>
      <c r="EJ146" s="2192"/>
      <c r="EK146" s="2192"/>
      <c r="EL146" s="2192"/>
      <c r="EM146" s="14483"/>
      <c r="EN146" s="14483"/>
      <c r="EO146" s="14483"/>
      <c r="EP146" s="14483"/>
      <c r="EQ146" s="14483"/>
      <c r="ER146" s="14483"/>
      <c r="ES146" s="14483"/>
      <c r="ET146" s="14483"/>
      <c r="EU146" s="14483"/>
      <c r="EV146" s="14483"/>
      <c r="EW146" s="14483"/>
      <c r="EX146" s="2192"/>
      <c r="EY146" s="2192"/>
      <c r="EZ146" s="2199"/>
      <c r="FA146" s="2512"/>
      <c r="FB146" s="2512" t="str">
        <f t="shared" si="2"/>
        <v>Добавить централизованную систему для дифференциации</v>
      </c>
      <c r="FC146" s="2512"/>
      <c r="FD146" s="2512"/>
    </row>
    <row r="147" spans="1:160" s="14952" customFormat="1" ht="23.25" customHeight="1">
      <c r="A147" s="2502"/>
      <c r="B147" s="2502" t="s">
        <v>323</v>
      </c>
      <c r="C147" s="2502"/>
      <c r="D147" s="2502"/>
      <c r="E147" s="16125"/>
      <c r="F147" s="16124" t="s">
        <v>136</v>
      </c>
      <c r="G147" s="2502"/>
      <c r="H147" s="2502"/>
      <c r="I147" s="2502"/>
      <c r="J147" s="2502"/>
      <c r="K147" s="2502"/>
      <c r="L147" s="2503"/>
      <c r="M147" s="2504"/>
      <c r="N147" s="2504"/>
      <c r="O147" s="2504"/>
      <c r="P147" s="2904"/>
      <c r="Q147" s="2506"/>
      <c r="R147" s="2507"/>
      <c r="S147" s="2508" t="str">
        <f>INDEX(PT_DIFFERENTIATION_NUM_TER,MATCH(B147,PT_DIFFERENTIATION_TER_ID,0))</f>
        <v>1.9</v>
      </c>
      <c r="T147" s="2905" t="s">
        <v>534</v>
      </c>
      <c r="U147" s="2510"/>
      <c r="V147" s="16110"/>
      <c r="W147" s="16111"/>
      <c r="X147" s="16111"/>
      <c r="Y147" s="16111"/>
      <c r="Z147" s="16111"/>
      <c r="AA147" s="16111"/>
      <c r="AB147" s="16111"/>
      <c r="AC147" s="16111"/>
      <c r="AD147" s="16111"/>
      <c r="AE147" s="16111"/>
      <c r="AF147" s="16112"/>
      <c r="AG147" s="16110" t="str">
        <f>INDEX(PT_DIFFERENTIATION_TER,MATCH(B147,PT_DIFFERENTIATION_TER_ID,0))</f>
        <v>Территория 9</v>
      </c>
      <c r="AH147" s="16111"/>
      <c r="AI147" s="16111"/>
      <c r="AJ147" s="16111"/>
      <c r="AK147" s="16111"/>
      <c r="AL147" s="16111"/>
      <c r="AM147" s="16111"/>
      <c r="AN147" s="16111"/>
      <c r="AO147" s="16111"/>
      <c r="AP147" s="16111"/>
      <c r="AQ147" s="16111"/>
      <c r="AR147" s="16110"/>
      <c r="AS147" s="16111"/>
      <c r="AT147" s="16111"/>
      <c r="AU147" s="16111"/>
      <c r="AV147" s="16111"/>
      <c r="AW147" s="16111"/>
      <c r="AX147" s="16111"/>
      <c r="AY147" s="16111"/>
      <c r="AZ147" s="16111"/>
      <c r="BA147" s="16111"/>
      <c r="BB147" s="16112"/>
      <c r="BC147" s="16110"/>
      <c r="BD147" s="16111"/>
      <c r="BE147" s="16111"/>
      <c r="BF147" s="16111"/>
      <c r="BG147" s="16111"/>
      <c r="BH147" s="16111"/>
      <c r="BI147" s="16111"/>
      <c r="BJ147" s="16111"/>
      <c r="BK147" s="16111"/>
      <c r="BL147" s="16111"/>
      <c r="BM147" s="16112"/>
      <c r="BN147" s="16110"/>
      <c r="BO147" s="16111"/>
      <c r="BP147" s="16111"/>
      <c r="BQ147" s="16111"/>
      <c r="BR147" s="16111"/>
      <c r="BS147" s="16111"/>
      <c r="BT147" s="16111"/>
      <c r="BU147" s="16111"/>
      <c r="BV147" s="16111"/>
      <c r="BW147" s="16111"/>
      <c r="BX147" s="16112"/>
      <c r="BY147" s="16110"/>
      <c r="BZ147" s="16111"/>
      <c r="CA147" s="16111"/>
      <c r="CB147" s="16111"/>
      <c r="CC147" s="16111"/>
      <c r="CD147" s="16111"/>
      <c r="CE147" s="16111"/>
      <c r="CF147" s="16111"/>
      <c r="CG147" s="16111"/>
      <c r="CH147" s="16111"/>
      <c r="CI147" s="16112"/>
      <c r="CJ147" s="16110"/>
      <c r="CK147" s="16111"/>
      <c r="CL147" s="16111"/>
      <c r="CM147" s="16111"/>
      <c r="CN147" s="16111"/>
      <c r="CO147" s="16111"/>
      <c r="CP147" s="16111"/>
      <c r="CQ147" s="16111"/>
      <c r="CR147" s="16111"/>
      <c r="CS147" s="16111"/>
      <c r="CT147" s="16112"/>
      <c r="CU147" s="16110"/>
      <c r="CV147" s="16111"/>
      <c r="CW147" s="16111"/>
      <c r="CX147" s="16111"/>
      <c r="CY147" s="16111"/>
      <c r="CZ147" s="16111"/>
      <c r="DA147" s="16111"/>
      <c r="DB147" s="16111"/>
      <c r="DC147" s="16111"/>
      <c r="DD147" s="16111"/>
      <c r="DE147" s="16112"/>
      <c r="DF147" s="16110"/>
      <c r="DG147" s="16111"/>
      <c r="DH147" s="16111"/>
      <c r="DI147" s="16111"/>
      <c r="DJ147" s="16111"/>
      <c r="DK147" s="16111"/>
      <c r="DL147" s="16111"/>
      <c r="DM147" s="16111"/>
      <c r="DN147" s="16111"/>
      <c r="DO147" s="16111"/>
      <c r="DP147" s="16112"/>
      <c r="DQ147" s="16110"/>
      <c r="DR147" s="16111"/>
      <c r="DS147" s="16111"/>
      <c r="DT147" s="16111"/>
      <c r="DU147" s="16111"/>
      <c r="DV147" s="16111"/>
      <c r="DW147" s="16111"/>
      <c r="DX147" s="16111"/>
      <c r="DY147" s="16111"/>
      <c r="DZ147" s="16111"/>
      <c r="EA147" s="16112"/>
      <c r="EB147" s="16110"/>
      <c r="EC147" s="16111"/>
      <c r="ED147" s="16111"/>
      <c r="EE147" s="16111"/>
      <c r="EF147" s="16111"/>
      <c r="EG147" s="16111"/>
      <c r="EH147" s="16111"/>
      <c r="EI147" s="16111"/>
      <c r="EJ147" s="16111"/>
      <c r="EK147" s="16111"/>
      <c r="EL147" s="16112"/>
      <c r="EM147" s="16110"/>
      <c r="EN147" s="16111"/>
      <c r="EO147" s="16111"/>
      <c r="EP147" s="16111"/>
      <c r="EQ147" s="16111"/>
      <c r="ER147" s="16111"/>
      <c r="ES147" s="16111"/>
      <c r="ET147" s="16111"/>
      <c r="EU147" s="16111"/>
      <c r="EV147" s="16111"/>
      <c r="EW147" s="16112"/>
      <c r="EX147" s="16112"/>
      <c r="EY147" s="2511" t="s">
        <v>535</v>
      </c>
      <c r="EZ147" s="2199"/>
      <c r="FA147" s="2512"/>
      <c r="FB147" s="2512" t="str">
        <f t="shared" si="2"/>
        <v>Территория действия тарифа</v>
      </c>
      <c r="FC147" s="2512"/>
      <c r="FD147" s="2512"/>
    </row>
    <row r="148" spans="1:160" s="14953" customFormat="1" ht="23.25" customHeight="1">
      <c r="A148" s="2502"/>
      <c r="B148" s="2502"/>
      <c r="C148" s="2502" t="s">
        <v>324</v>
      </c>
      <c r="D148" s="2502"/>
      <c r="E148" s="16125"/>
      <c r="F148" s="16125" t="s">
        <v>132</v>
      </c>
      <c r="G148" s="16124">
        <v>1</v>
      </c>
      <c r="H148" s="2502"/>
      <c r="I148" s="2502"/>
      <c r="J148" s="2502"/>
      <c r="K148" s="2502"/>
      <c r="L148" s="2503"/>
      <c r="M148" s="2504"/>
      <c r="N148" s="2504"/>
      <c r="O148" s="2504"/>
      <c r="P148" s="2505"/>
      <c r="Q148" s="2506"/>
      <c r="R148" s="2507"/>
      <c r="S148" s="2508" t="str">
        <f>INDEX(PT_DIFFERENTIATION_NUM_CS,MATCH(C148,PT_DIFFERENTIATION_CS_ID,0))</f>
        <v>1.9.1</v>
      </c>
      <c r="T148" s="2509" t="s">
        <v>665</v>
      </c>
      <c r="U148" s="2510"/>
      <c r="V148" s="16110"/>
      <c r="W148" s="16111"/>
      <c r="X148" s="16111"/>
      <c r="Y148" s="16111"/>
      <c r="Z148" s="16111"/>
      <c r="AA148" s="16111"/>
      <c r="AB148" s="16111"/>
      <c r="AC148" s="16111"/>
      <c r="AD148" s="16111"/>
      <c r="AE148" s="16111"/>
      <c r="AF148" s="16112"/>
      <c r="AG148" s="16110" t="str">
        <f>INDEX(PT_DIFFERENTIATION_CS,MATCH(C148,PT_DIFFERENTIATION_CS_ID,0))</f>
        <v>н.п. Лейпи</v>
      </c>
      <c r="AH148" s="16111"/>
      <c r="AI148" s="16111"/>
      <c r="AJ148" s="16111"/>
      <c r="AK148" s="16111"/>
      <c r="AL148" s="16111"/>
      <c r="AM148" s="16111"/>
      <c r="AN148" s="16111"/>
      <c r="AO148" s="16111"/>
      <c r="AP148" s="16111"/>
      <c r="AQ148" s="16111"/>
      <c r="AR148" s="16110"/>
      <c r="AS148" s="16111"/>
      <c r="AT148" s="16111"/>
      <c r="AU148" s="16111"/>
      <c r="AV148" s="16111"/>
      <c r="AW148" s="16111"/>
      <c r="AX148" s="16111"/>
      <c r="AY148" s="16111"/>
      <c r="AZ148" s="16111"/>
      <c r="BA148" s="16111"/>
      <c r="BB148" s="16112"/>
      <c r="BC148" s="16110"/>
      <c r="BD148" s="16111"/>
      <c r="BE148" s="16111"/>
      <c r="BF148" s="16111"/>
      <c r="BG148" s="16111"/>
      <c r="BH148" s="16111"/>
      <c r="BI148" s="16111"/>
      <c r="BJ148" s="16111"/>
      <c r="BK148" s="16111"/>
      <c r="BL148" s="16111"/>
      <c r="BM148" s="16112"/>
      <c r="BN148" s="16110"/>
      <c r="BO148" s="16111"/>
      <c r="BP148" s="16111"/>
      <c r="BQ148" s="16111"/>
      <c r="BR148" s="16111"/>
      <c r="BS148" s="16111"/>
      <c r="BT148" s="16111"/>
      <c r="BU148" s="16111"/>
      <c r="BV148" s="16111"/>
      <c r="BW148" s="16111"/>
      <c r="BX148" s="16112"/>
      <c r="BY148" s="16110"/>
      <c r="BZ148" s="16111"/>
      <c r="CA148" s="16111"/>
      <c r="CB148" s="16111"/>
      <c r="CC148" s="16111"/>
      <c r="CD148" s="16111"/>
      <c r="CE148" s="16111"/>
      <c r="CF148" s="16111"/>
      <c r="CG148" s="16111"/>
      <c r="CH148" s="16111"/>
      <c r="CI148" s="16112"/>
      <c r="CJ148" s="16110"/>
      <c r="CK148" s="16111"/>
      <c r="CL148" s="16111"/>
      <c r="CM148" s="16111"/>
      <c r="CN148" s="16111"/>
      <c r="CO148" s="16111"/>
      <c r="CP148" s="16111"/>
      <c r="CQ148" s="16111"/>
      <c r="CR148" s="16111"/>
      <c r="CS148" s="16111"/>
      <c r="CT148" s="16112"/>
      <c r="CU148" s="16110"/>
      <c r="CV148" s="16111"/>
      <c r="CW148" s="16111"/>
      <c r="CX148" s="16111"/>
      <c r="CY148" s="16111"/>
      <c r="CZ148" s="16111"/>
      <c r="DA148" s="16111"/>
      <c r="DB148" s="16111"/>
      <c r="DC148" s="16111"/>
      <c r="DD148" s="16111"/>
      <c r="DE148" s="16112"/>
      <c r="DF148" s="16110"/>
      <c r="DG148" s="16111"/>
      <c r="DH148" s="16111"/>
      <c r="DI148" s="16111"/>
      <c r="DJ148" s="16111"/>
      <c r="DK148" s="16111"/>
      <c r="DL148" s="16111"/>
      <c r="DM148" s="16111"/>
      <c r="DN148" s="16111"/>
      <c r="DO148" s="16111"/>
      <c r="DP148" s="16112"/>
      <c r="DQ148" s="16110"/>
      <c r="DR148" s="16111"/>
      <c r="DS148" s="16111"/>
      <c r="DT148" s="16111"/>
      <c r="DU148" s="16111"/>
      <c r="DV148" s="16111"/>
      <c r="DW148" s="16111"/>
      <c r="DX148" s="16111"/>
      <c r="DY148" s="16111"/>
      <c r="DZ148" s="16111"/>
      <c r="EA148" s="16112"/>
      <c r="EB148" s="16110"/>
      <c r="EC148" s="16111"/>
      <c r="ED148" s="16111"/>
      <c r="EE148" s="16111"/>
      <c r="EF148" s="16111"/>
      <c r="EG148" s="16111"/>
      <c r="EH148" s="16111"/>
      <c r="EI148" s="16111"/>
      <c r="EJ148" s="16111"/>
      <c r="EK148" s="16111"/>
      <c r="EL148" s="16112"/>
      <c r="EM148" s="16110"/>
      <c r="EN148" s="16111"/>
      <c r="EO148" s="16111"/>
      <c r="EP148" s="16111"/>
      <c r="EQ148" s="16111"/>
      <c r="ER148" s="16111"/>
      <c r="ES148" s="16111"/>
      <c r="ET148" s="16111"/>
      <c r="EU148" s="16111"/>
      <c r="EV148" s="16111"/>
      <c r="EW148" s="16112"/>
      <c r="EX148" s="16112"/>
      <c r="EY148" s="2511" t="s">
        <v>666</v>
      </c>
      <c r="EZ148" s="2199"/>
      <c r="FA148" s="2512"/>
      <c r="FB148" s="2512" t="str">
        <f t="shared" si="2"/>
        <v>Наименование централизованной системы горячего водоснабжения</v>
      </c>
      <c r="FC148" s="2512"/>
      <c r="FD148" s="2512"/>
    </row>
    <row r="149" spans="1:160" s="14954" customFormat="1" ht="23.25" customHeight="1">
      <c r="A149" s="2502"/>
      <c r="B149" s="2502"/>
      <c r="C149" s="2502"/>
      <c r="D149" s="2502"/>
      <c r="E149" s="16125"/>
      <c r="F149" s="16125" t="s">
        <v>132</v>
      </c>
      <c r="G149" s="16125"/>
      <c r="H149" s="16125"/>
      <c r="I149" s="16122" t="str">
        <f>S148&amp;".1"</f>
        <v>1.9.1.1</v>
      </c>
      <c r="J149" s="2502"/>
      <c r="K149" s="2502"/>
      <c r="L149" s="2503"/>
      <c r="M149" s="2513"/>
      <c r="N149" s="2513"/>
      <c r="O149" s="2513"/>
      <c r="P149" s="16123">
        <v>1</v>
      </c>
      <c r="Q149" s="2514"/>
      <c r="R149" s="2515"/>
      <c r="S149" s="2508" t="str">
        <f>$I149</f>
        <v>1.9.1.1</v>
      </c>
      <c r="T149" s="2516" t="s">
        <v>618</v>
      </c>
      <c r="U149" s="2510"/>
      <c r="V149" s="16183"/>
      <c r="W149" s="16184"/>
      <c r="X149" s="16184"/>
      <c r="Y149" s="16184"/>
      <c r="Z149" s="16184"/>
      <c r="AA149" s="16184"/>
      <c r="AB149" s="16184"/>
      <c r="AC149" s="16184"/>
      <c r="AD149" s="16184"/>
      <c r="AE149" s="16184"/>
      <c r="AF149" s="16185"/>
      <c r="AG149" s="16186"/>
      <c r="AH149" s="16187"/>
      <c r="AI149" s="16187"/>
      <c r="AJ149" s="16187"/>
      <c r="AK149" s="16187"/>
      <c r="AL149" s="16187"/>
      <c r="AM149" s="16187"/>
      <c r="AN149" s="16187"/>
      <c r="AO149" s="16187"/>
      <c r="AP149" s="16187"/>
      <c r="AQ149" s="16187"/>
      <c r="AR149" s="16183"/>
      <c r="AS149" s="16184"/>
      <c r="AT149" s="16184"/>
      <c r="AU149" s="16184"/>
      <c r="AV149" s="16184"/>
      <c r="AW149" s="16184"/>
      <c r="AX149" s="16184"/>
      <c r="AY149" s="16184"/>
      <c r="AZ149" s="16184"/>
      <c r="BA149" s="16184"/>
      <c r="BB149" s="16185"/>
      <c r="BC149" s="16183"/>
      <c r="BD149" s="16184"/>
      <c r="BE149" s="16184"/>
      <c r="BF149" s="16184"/>
      <c r="BG149" s="16184"/>
      <c r="BH149" s="16184"/>
      <c r="BI149" s="16184"/>
      <c r="BJ149" s="16184"/>
      <c r="BK149" s="16184"/>
      <c r="BL149" s="16184"/>
      <c r="BM149" s="16185"/>
      <c r="BN149" s="16183"/>
      <c r="BO149" s="16184"/>
      <c r="BP149" s="16184"/>
      <c r="BQ149" s="16184"/>
      <c r="BR149" s="16184"/>
      <c r="BS149" s="16184"/>
      <c r="BT149" s="16184"/>
      <c r="BU149" s="16184"/>
      <c r="BV149" s="16184"/>
      <c r="BW149" s="16184"/>
      <c r="BX149" s="16185"/>
      <c r="BY149" s="16183"/>
      <c r="BZ149" s="16184"/>
      <c r="CA149" s="16184"/>
      <c r="CB149" s="16184"/>
      <c r="CC149" s="16184"/>
      <c r="CD149" s="16184"/>
      <c r="CE149" s="16184"/>
      <c r="CF149" s="16184"/>
      <c r="CG149" s="16184"/>
      <c r="CH149" s="16184"/>
      <c r="CI149" s="16185"/>
      <c r="CJ149" s="16183"/>
      <c r="CK149" s="16184"/>
      <c r="CL149" s="16184"/>
      <c r="CM149" s="16184"/>
      <c r="CN149" s="16184"/>
      <c r="CO149" s="16184"/>
      <c r="CP149" s="16184"/>
      <c r="CQ149" s="16184"/>
      <c r="CR149" s="16184"/>
      <c r="CS149" s="16184"/>
      <c r="CT149" s="16185"/>
      <c r="CU149" s="16183"/>
      <c r="CV149" s="16184"/>
      <c r="CW149" s="16184"/>
      <c r="CX149" s="16184"/>
      <c r="CY149" s="16184"/>
      <c r="CZ149" s="16184"/>
      <c r="DA149" s="16184"/>
      <c r="DB149" s="16184"/>
      <c r="DC149" s="16184"/>
      <c r="DD149" s="16184"/>
      <c r="DE149" s="16185"/>
      <c r="DF149" s="16183"/>
      <c r="DG149" s="16184"/>
      <c r="DH149" s="16184"/>
      <c r="DI149" s="16184"/>
      <c r="DJ149" s="16184"/>
      <c r="DK149" s="16184"/>
      <c r="DL149" s="16184"/>
      <c r="DM149" s="16184"/>
      <c r="DN149" s="16184"/>
      <c r="DO149" s="16184"/>
      <c r="DP149" s="16185"/>
      <c r="DQ149" s="16183"/>
      <c r="DR149" s="16184"/>
      <c r="DS149" s="16184"/>
      <c r="DT149" s="16184"/>
      <c r="DU149" s="16184"/>
      <c r="DV149" s="16184"/>
      <c r="DW149" s="16184"/>
      <c r="DX149" s="16184"/>
      <c r="DY149" s="16184"/>
      <c r="DZ149" s="16184"/>
      <c r="EA149" s="16185"/>
      <c r="EB149" s="16183"/>
      <c r="EC149" s="16184"/>
      <c r="ED149" s="16184"/>
      <c r="EE149" s="16184"/>
      <c r="EF149" s="16184"/>
      <c r="EG149" s="16184"/>
      <c r="EH149" s="16184"/>
      <c r="EI149" s="16184"/>
      <c r="EJ149" s="16184"/>
      <c r="EK149" s="16184"/>
      <c r="EL149" s="16185"/>
      <c r="EM149" s="16183"/>
      <c r="EN149" s="16184"/>
      <c r="EO149" s="16184"/>
      <c r="EP149" s="16184"/>
      <c r="EQ149" s="16184"/>
      <c r="ER149" s="16184"/>
      <c r="ES149" s="16184"/>
      <c r="ET149" s="16184"/>
      <c r="EU149" s="16184"/>
      <c r="EV149" s="16184"/>
      <c r="EW149" s="16185"/>
      <c r="EX149" s="16188"/>
      <c r="EY149" s="2511" t="s">
        <v>619</v>
      </c>
      <c r="EZ149" s="2199"/>
      <c r="FA149" s="2512"/>
      <c r="FB149" s="2512" t="str">
        <f t="shared" si="2"/>
        <v>Наименование признака дифференциации</v>
      </c>
      <c r="FC149" s="2512"/>
      <c r="FD149" s="2512"/>
    </row>
    <row r="150" spans="1:160" s="14955" customFormat="1" ht="23.25" customHeight="1">
      <c r="A150" s="2502"/>
      <c r="B150" s="2502"/>
      <c r="C150" s="2502"/>
      <c r="D150" s="2502"/>
      <c r="E150" s="16125"/>
      <c r="F150" s="16125" t="s">
        <v>132</v>
      </c>
      <c r="G150" s="16125"/>
      <c r="H150" s="16125"/>
      <c r="I150" s="16145"/>
      <c r="J150" s="16122" t="str">
        <f>I149&amp;".1"</f>
        <v>1.9.1.1.1</v>
      </c>
      <c r="K150" s="2502"/>
      <c r="L150" s="2503" t="s">
        <v>543</v>
      </c>
      <c r="M150" s="2513"/>
      <c r="N150" s="2513"/>
      <c r="O150" s="2513"/>
      <c r="P150" s="16123"/>
      <c r="Q150" s="16123">
        <v>1</v>
      </c>
      <c r="R150" s="2517"/>
      <c r="S150" s="2508" t="str">
        <f>$J150</f>
        <v>1.9.1.1.1</v>
      </c>
      <c r="T150" s="2518" t="s">
        <v>544</v>
      </c>
      <c r="U150" s="2510"/>
      <c r="V150" s="16113"/>
      <c r="W150" s="16114"/>
      <c r="X150" s="16114"/>
      <c r="Y150" s="16114"/>
      <c r="Z150" s="16114"/>
      <c r="AA150" s="16114"/>
      <c r="AB150" s="16114"/>
      <c r="AC150" s="16114"/>
      <c r="AD150" s="16114"/>
      <c r="AE150" s="16114"/>
      <c r="AF150" s="16115"/>
      <c r="AG150" s="16113" t="s">
        <v>678</v>
      </c>
      <c r="AH150" s="16114"/>
      <c r="AI150" s="16114"/>
      <c r="AJ150" s="16114"/>
      <c r="AK150" s="16114"/>
      <c r="AL150" s="16114"/>
      <c r="AM150" s="16114"/>
      <c r="AN150" s="16114"/>
      <c r="AO150" s="16114"/>
      <c r="AP150" s="16114"/>
      <c r="AQ150" s="16114"/>
      <c r="AR150" s="16113"/>
      <c r="AS150" s="16114"/>
      <c r="AT150" s="16114"/>
      <c r="AU150" s="16114"/>
      <c r="AV150" s="16114"/>
      <c r="AW150" s="16114"/>
      <c r="AX150" s="16114"/>
      <c r="AY150" s="16114"/>
      <c r="AZ150" s="16114"/>
      <c r="BA150" s="16114"/>
      <c r="BB150" s="16115"/>
      <c r="BC150" s="16113"/>
      <c r="BD150" s="16114"/>
      <c r="BE150" s="16114"/>
      <c r="BF150" s="16114"/>
      <c r="BG150" s="16114"/>
      <c r="BH150" s="16114"/>
      <c r="BI150" s="16114"/>
      <c r="BJ150" s="16114"/>
      <c r="BK150" s="16114"/>
      <c r="BL150" s="16114"/>
      <c r="BM150" s="16115"/>
      <c r="BN150" s="16113"/>
      <c r="BO150" s="16114"/>
      <c r="BP150" s="16114"/>
      <c r="BQ150" s="16114"/>
      <c r="BR150" s="16114"/>
      <c r="BS150" s="16114"/>
      <c r="BT150" s="16114"/>
      <c r="BU150" s="16114"/>
      <c r="BV150" s="16114"/>
      <c r="BW150" s="16114"/>
      <c r="BX150" s="16115"/>
      <c r="BY150" s="16113"/>
      <c r="BZ150" s="16114"/>
      <c r="CA150" s="16114"/>
      <c r="CB150" s="16114"/>
      <c r="CC150" s="16114"/>
      <c r="CD150" s="16114"/>
      <c r="CE150" s="16114"/>
      <c r="CF150" s="16114"/>
      <c r="CG150" s="16114"/>
      <c r="CH150" s="16114"/>
      <c r="CI150" s="16115"/>
      <c r="CJ150" s="16113"/>
      <c r="CK150" s="16114"/>
      <c r="CL150" s="16114"/>
      <c r="CM150" s="16114"/>
      <c r="CN150" s="16114"/>
      <c r="CO150" s="16114"/>
      <c r="CP150" s="16114"/>
      <c r="CQ150" s="16114"/>
      <c r="CR150" s="16114"/>
      <c r="CS150" s="16114"/>
      <c r="CT150" s="16115"/>
      <c r="CU150" s="16113"/>
      <c r="CV150" s="16114"/>
      <c r="CW150" s="16114"/>
      <c r="CX150" s="16114"/>
      <c r="CY150" s="16114"/>
      <c r="CZ150" s="16114"/>
      <c r="DA150" s="16114"/>
      <c r="DB150" s="16114"/>
      <c r="DC150" s="16114"/>
      <c r="DD150" s="16114"/>
      <c r="DE150" s="16115"/>
      <c r="DF150" s="16113"/>
      <c r="DG150" s="16114"/>
      <c r="DH150" s="16114"/>
      <c r="DI150" s="16114"/>
      <c r="DJ150" s="16114"/>
      <c r="DK150" s="16114"/>
      <c r="DL150" s="16114"/>
      <c r="DM150" s="16114"/>
      <c r="DN150" s="16114"/>
      <c r="DO150" s="16114"/>
      <c r="DP150" s="16115"/>
      <c r="DQ150" s="16113"/>
      <c r="DR150" s="16114"/>
      <c r="DS150" s="16114"/>
      <c r="DT150" s="16114"/>
      <c r="DU150" s="16114"/>
      <c r="DV150" s="16114"/>
      <c r="DW150" s="16114"/>
      <c r="DX150" s="16114"/>
      <c r="DY150" s="16114"/>
      <c r="DZ150" s="16114"/>
      <c r="EA150" s="16115"/>
      <c r="EB150" s="16113"/>
      <c r="EC150" s="16114"/>
      <c r="ED150" s="16114"/>
      <c r="EE150" s="16114"/>
      <c r="EF150" s="16114"/>
      <c r="EG150" s="16114"/>
      <c r="EH150" s="16114"/>
      <c r="EI150" s="16114"/>
      <c r="EJ150" s="16114"/>
      <c r="EK150" s="16114"/>
      <c r="EL150" s="16115"/>
      <c r="EM150" s="16113"/>
      <c r="EN150" s="16114"/>
      <c r="EO150" s="16114"/>
      <c r="EP150" s="16114"/>
      <c r="EQ150" s="16114"/>
      <c r="ER150" s="16114"/>
      <c r="ES150" s="16114"/>
      <c r="ET150" s="16114"/>
      <c r="EU150" s="16114"/>
      <c r="EV150" s="16114"/>
      <c r="EW150" s="16115"/>
      <c r="EX150" s="16115"/>
      <c r="EY150" s="2519" t="s">
        <v>620</v>
      </c>
      <c r="EZ150" s="2199"/>
      <c r="FA150" s="2512"/>
      <c r="FB150" s="2512" t="str">
        <f t="shared" si="2"/>
        <v>Группа потребителей</v>
      </c>
      <c r="FC150" s="2512"/>
      <c r="FD150" s="2512"/>
    </row>
    <row r="151" spans="1:160" s="14956" customFormat="1" ht="23.25" customHeight="1">
      <c r="A151" s="2502"/>
      <c r="B151" s="2502"/>
      <c r="C151" s="2502"/>
      <c r="D151" s="2502"/>
      <c r="E151" s="16125"/>
      <c r="F151" s="16125" t="s">
        <v>132</v>
      </c>
      <c r="G151" s="16125"/>
      <c r="H151" s="16125"/>
      <c r="I151" s="16145"/>
      <c r="J151" s="16145"/>
      <c r="K151" s="16122" t="str">
        <f>J150&amp;".1"</f>
        <v>1.9.1.1.1.1</v>
      </c>
      <c r="L151" s="2503"/>
      <c r="M151" s="2513"/>
      <c r="N151" s="2513"/>
      <c r="O151" s="2513"/>
      <c r="P151" s="16123"/>
      <c r="Q151" s="16123"/>
      <c r="R151" s="2517">
        <v>1</v>
      </c>
      <c r="S151" s="2508" t="str">
        <f>$K151</f>
        <v>1.9.1.1.1.1</v>
      </c>
      <c r="T151" s="2520"/>
      <c r="U151" s="2510"/>
      <c r="V151" s="1893"/>
      <c r="W151" s="1893"/>
      <c r="X151" s="1893"/>
      <c r="Y151" s="1893"/>
      <c r="Z151" s="1893"/>
      <c r="AA151" s="1893"/>
      <c r="AB151" s="1893"/>
      <c r="AC151" s="16127"/>
      <c r="AD151" s="15973" t="s">
        <v>66</v>
      </c>
      <c r="AE151" s="16127"/>
      <c r="AF151" s="15973" t="s">
        <v>66</v>
      </c>
      <c r="AG151" s="1893">
        <v>33.799999999999997</v>
      </c>
      <c r="AH151" s="1893"/>
      <c r="AI151" s="1893"/>
      <c r="AJ151" s="1893"/>
      <c r="AK151" s="1893">
        <v>3804.36</v>
      </c>
      <c r="AL151" s="1893"/>
      <c r="AM151" s="1893"/>
      <c r="AN151" s="16127">
        <v>45292</v>
      </c>
      <c r="AO151" s="15973" t="s">
        <v>66</v>
      </c>
      <c r="AP151" s="16146">
        <v>45378</v>
      </c>
      <c r="AQ151" s="15973" t="s">
        <v>66</v>
      </c>
      <c r="AR151" s="1893">
        <v>33.799999999999997</v>
      </c>
      <c r="AS151" s="1893"/>
      <c r="AT151" s="1893"/>
      <c r="AU151" s="1893"/>
      <c r="AV151" s="1893">
        <v>3804.36</v>
      </c>
      <c r="AW151" s="1893"/>
      <c r="AX151" s="1893"/>
      <c r="AY151" s="16127">
        <v>45379</v>
      </c>
      <c r="AZ151" s="15973" t="s">
        <v>66</v>
      </c>
      <c r="BA151" s="16127">
        <v>45473</v>
      </c>
      <c r="BB151" s="15973" t="s">
        <v>66</v>
      </c>
      <c r="BC151" s="1893">
        <v>37.950000000000003</v>
      </c>
      <c r="BD151" s="1893"/>
      <c r="BE151" s="1893"/>
      <c r="BF151" s="1893"/>
      <c r="BG151" s="1893">
        <v>4000</v>
      </c>
      <c r="BH151" s="1893"/>
      <c r="BI151" s="1893"/>
      <c r="BJ151" s="16127">
        <v>45474</v>
      </c>
      <c r="BK151" s="15973" t="s">
        <v>66</v>
      </c>
      <c r="BL151" s="16127">
        <v>45657</v>
      </c>
      <c r="BM151" s="15973" t="s">
        <v>66</v>
      </c>
      <c r="BN151" s="1893">
        <v>37.950000000000003</v>
      </c>
      <c r="BO151" s="1893"/>
      <c r="BP151" s="1893"/>
      <c r="BQ151" s="1893"/>
      <c r="BR151" s="1893">
        <v>4000</v>
      </c>
      <c r="BS151" s="1893"/>
      <c r="BT151" s="1893"/>
      <c r="BU151" s="16127">
        <v>45658</v>
      </c>
      <c r="BV151" s="15973" t="s">
        <v>66</v>
      </c>
      <c r="BW151" s="16127">
        <v>45838</v>
      </c>
      <c r="BX151" s="15973" t="s">
        <v>66</v>
      </c>
      <c r="BY151" s="1893">
        <v>39.549999999999997</v>
      </c>
      <c r="BZ151" s="1893"/>
      <c r="CA151" s="1893"/>
      <c r="CB151" s="1893"/>
      <c r="CC151" s="1893">
        <v>4168</v>
      </c>
      <c r="CD151" s="1893"/>
      <c r="CE151" s="1893"/>
      <c r="CF151" s="16127">
        <v>45839</v>
      </c>
      <c r="CG151" s="15973" t="s">
        <v>66</v>
      </c>
      <c r="CH151" s="16127">
        <v>46022</v>
      </c>
      <c r="CI151" s="15973" t="s">
        <v>66</v>
      </c>
      <c r="CJ151" s="1893">
        <v>39.549999999999997</v>
      </c>
      <c r="CK151" s="1893"/>
      <c r="CL151" s="1893"/>
      <c r="CM151" s="1893"/>
      <c r="CN151" s="1893">
        <v>4168</v>
      </c>
      <c r="CO151" s="1893"/>
      <c r="CP151" s="1893"/>
      <c r="CQ151" s="16127">
        <v>46023</v>
      </c>
      <c r="CR151" s="15973" t="s">
        <v>66</v>
      </c>
      <c r="CS151" s="16127">
        <v>46203</v>
      </c>
      <c r="CT151" s="15973" t="s">
        <v>66</v>
      </c>
      <c r="CU151" s="1893">
        <v>41.13</v>
      </c>
      <c r="CV151" s="1893"/>
      <c r="CW151" s="1893"/>
      <c r="CX151" s="1893"/>
      <c r="CY151" s="1893">
        <v>4334.72</v>
      </c>
      <c r="CZ151" s="1893"/>
      <c r="DA151" s="1893"/>
      <c r="DB151" s="16127">
        <v>46204</v>
      </c>
      <c r="DC151" s="15973" t="s">
        <v>66</v>
      </c>
      <c r="DD151" s="16127">
        <v>46387</v>
      </c>
      <c r="DE151" s="15973" t="s">
        <v>66</v>
      </c>
      <c r="DF151" s="1893">
        <v>41.13</v>
      </c>
      <c r="DG151" s="1893"/>
      <c r="DH151" s="1893"/>
      <c r="DI151" s="1893"/>
      <c r="DJ151" s="1893">
        <v>4334.72</v>
      </c>
      <c r="DK151" s="1893"/>
      <c r="DL151" s="1893"/>
      <c r="DM151" s="16127">
        <v>46388</v>
      </c>
      <c r="DN151" s="15973" t="s">
        <v>66</v>
      </c>
      <c r="DO151" s="16127">
        <v>46568</v>
      </c>
      <c r="DP151" s="15973" t="s">
        <v>66</v>
      </c>
      <c r="DQ151" s="1893">
        <v>42.77</v>
      </c>
      <c r="DR151" s="1893"/>
      <c r="DS151" s="1893"/>
      <c r="DT151" s="1893"/>
      <c r="DU151" s="1893">
        <v>4508.1099999999997</v>
      </c>
      <c r="DV151" s="1893"/>
      <c r="DW151" s="1893"/>
      <c r="DX151" s="16127">
        <v>46569</v>
      </c>
      <c r="DY151" s="15973" t="s">
        <v>66</v>
      </c>
      <c r="DZ151" s="16127">
        <v>46752</v>
      </c>
      <c r="EA151" s="15973" t="s">
        <v>66</v>
      </c>
      <c r="EB151" s="1893">
        <v>42.77</v>
      </c>
      <c r="EC151" s="1893"/>
      <c r="ED151" s="1893"/>
      <c r="EE151" s="1893"/>
      <c r="EF151" s="1893">
        <v>4508.1099999999997</v>
      </c>
      <c r="EG151" s="1893"/>
      <c r="EH151" s="1893"/>
      <c r="EI151" s="16127">
        <v>46753</v>
      </c>
      <c r="EJ151" s="15973" t="s">
        <v>66</v>
      </c>
      <c r="EK151" s="16127">
        <v>46934</v>
      </c>
      <c r="EL151" s="15973" t="s">
        <v>66</v>
      </c>
      <c r="EM151" s="14448">
        <v>44.49</v>
      </c>
      <c r="EN151" s="14448"/>
      <c r="EO151" s="14448"/>
      <c r="EP151" s="14448"/>
      <c r="EQ151" s="14448">
        <v>4688.43</v>
      </c>
      <c r="ER151" s="14448"/>
      <c r="ES151" s="14448"/>
      <c r="ET151" s="16127">
        <v>46935</v>
      </c>
      <c r="EU151" s="15973" t="s">
        <v>66</v>
      </c>
      <c r="EV151" s="16127">
        <v>47118</v>
      </c>
      <c r="EW151" s="15973" t="s">
        <v>66</v>
      </c>
      <c r="EX151" s="2521"/>
      <c r="EY15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51" s="2199" t="e">
        <f ca="1">STRCHECKDATE(V152:EX152)</f>
        <v>#NAME?</v>
      </c>
      <c r="FA151" s="2512"/>
      <c r="FB151" s="2512" t="str">
        <f t="shared" si="2"/>
        <v/>
      </c>
      <c r="FC151" s="2512"/>
      <c r="FD151" s="2512"/>
    </row>
    <row r="152" spans="1:160" s="14957" customFormat="1" ht="14.25" customHeight="1">
      <c r="A152" s="2502"/>
      <c r="B152" s="2502"/>
      <c r="C152" s="2502"/>
      <c r="D152" s="2502"/>
      <c r="E152" s="16125"/>
      <c r="F152" s="16125" t="s">
        <v>132</v>
      </c>
      <c r="G152" s="16125"/>
      <c r="H152" s="16125"/>
      <c r="I152" s="16145"/>
      <c r="J152" s="16145"/>
      <c r="K152" s="16122"/>
      <c r="L152" s="2503"/>
      <c r="M152" s="2513"/>
      <c r="N152" s="2513"/>
      <c r="O152" s="2513"/>
      <c r="P152" s="16123"/>
      <c r="Q152" s="16123"/>
      <c r="R152" s="2517"/>
      <c r="S152" s="2522"/>
      <c r="T152" s="2510"/>
      <c r="U152" s="2510"/>
      <c r="V152" s="1894"/>
      <c r="W152" s="1894"/>
      <c r="X152" s="1894"/>
      <c r="Y152" s="1894"/>
      <c r="Z152" s="1894"/>
      <c r="AA152" s="1894"/>
      <c r="AB152" s="1894"/>
      <c r="AC152" s="16128"/>
      <c r="AD152" s="15973"/>
      <c r="AE152" s="16128"/>
      <c r="AF152" s="15973"/>
      <c r="AG152" s="1894"/>
      <c r="AH152" s="1894"/>
      <c r="AI152" s="1894"/>
      <c r="AJ152" s="1894"/>
      <c r="AK152" s="1894"/>
      <c r="AL152" s="1894"/>
      <c r="AM152" s="1894"/>
      <c r="AN152" s="16128"/>
      <c r="AO152" s="15973"/>
      <c r="AP152" s="16147"/>
      <c r="AQ152" s="15973"/>
      <c r="AR152" s="1894"/>
      <c r="AS152" s="1894"/>
      <c r="AT152" s="1894"/>
      <c r="AU152" s="1894"/>
      <c r="AV152" s="1894"/>
      <c r="AW152" s="1894"/>
      <c r="AX152" s="1894"/>
      <c r="AY152" s="16128"/>
      <c r="AZ152" s="15973"/>
      <c r="BA152" s="16128"/>
      <c r="BB152" s="15973"/>
      <c r="BC152" s="1894"/>
      <c r="BD152" s="1894"/>
      <c r="BE152" s="1894"/>
      <c r="BF152" s="1894"/>
      <c r="BG152" s="1894"/>
      <c r="BH152" s="1894"/>
      <c r="BI152" s="1894"/>
      <c r="BJ152" s="16128"/>
      <c r="BK152" s="15973"/>
      <c r="BL152" s="16128"/>
      <c r="BM152" s="15973"/>
      <c r="BN152" s="1894"/>
      <c r="BO152" s="1894"/>
      <c r="BP152" s="1894"/>
      <c r="BQ152" s="1894"/>
      <c r="BR152" s="1894"/>
      <c r="BS152" s="1894"/>
      <c r="BT152" s="1894"/>
      <c r="BU152" s="16128"/>
      <c r="BV152" s="15973"/>
      <c r="BW152" s="16128"/>
      <c r="BX152" s="15973"/>
      <c r="BY152" s="1894"/>
      <c r="BZ152" s="1894"/>
      <c r="CA152" s="1894"/>
      <c r="CB152" s="1894"/>
      <c r="CC152" s="1894"/>
      <c r="CD152" s="1894"/>
      <c r="CE152" s="1894"/>
      <c r="CF152" s="16128"/>
      <c r="CG152" s="15973"/>
      <c r="CH152" s="16128"/>
      <c r="CI152" s="15973"/>
      <c r="CJ152" s="1894"/>
      <c r="CK152" s="1894"/>
      <c r="CL152" s="1894"/>
      <c r="CM152" s="1894"/>
      <c r="CN152" s="1894"/>
      <c r="CO152" s="1894"/>
      <c r="CP152" s="1894"/>
      <c r="CQ152" s="16128"/>
      <c r="CR152" s="15973"/>
      <c r="CS152" s="16128"/>
      <c r="CT152" s="15973"/>
      <c r="CU152" s="1894"/>
      <c r="CV152" s="1894"/>
      <c r="CW152" s="1894"/>
      <c r="CX152" s="1894"/>
      <c r="CY152" s="1894"/>
      <c r="CZ152" s="1894"/>
      <c r="DA152" s="1894"/>
      <c r="DB152" s="16128"/>
      <c r="DC152" s="15973"/>
      <c r="DD152" s="16128"/>
      <c r="DE152" s="15973"/>
      <c r="DF152" s="1894"/>
      <c r="DG152" s="1894"/>
      <c r="DH152" s="1894"/>
      <c r="DI152" s="1894"/>
      <c r="DJ152" s="1894"/>
      <c r="DK152" s="1894"/>
      <c r="DL152" s="1894"/>
      <c r="DM152" s="16128"/>
      <c r="DN152" s="15973"/>
      <c r="DO152" s="16128"/>
      <c r="DP152" s="15973"/>
      <c r="DQ152" s="1894"/>
      <c r="DR152" s="1894"/>
      <c r="DS152" s="1894"/>
      <c r="DT152" s="1894"/>
      <c r="DU152" s="1894"/>
      <c r="DV152" s="1894"/>
      <c r="DW152" s="1894"/>
      <c r="DX152" s="16128"/>
      <c r="DY152" s="15973"/>
      <c r="DZ152" s="16128"/>
      <c r="EA152" s="15973"/>
      <c r="EB152" s="1894"/>
      <c r="EC152" s="1894"/>
      <c r="ED152" s="1894"/>
      <c r="EE152" s="1894"/>
      <c r="EF152" s="1894"/>
      <c r="EG152" s="1894"/>
      <c r="EH152" s="1894"/>
      <c r="EI152" s="16128"/>
      <c r="EJ152" s="15973"/>
      <c r="EK152" s="16128"/>
      <c r="EL152" s="15973"/>
      <c r="EM152" s="14449"/>
      <c r="EN152" s="14449"/>
      <c r="EO152" s="14449"/>
      <c r="EP152" s="14449"/>
      <c r="EQ152" s="14449"/>
      <c r="ER152" s="14449"/>
      <c r="ES152" s="14449"/>
      <c r="ET152" s="16128"/>
      <c r="EU152" s="15973"/>
      <c r="EV152" s="16128"/>
      <c r="EW152" s="15973"/>
      <c r="EX152" s="2523"/>
      <c r="EY152" s="16182"/>
      <c r="EZ152" s="2199"/>
      <c r="FA152" s="2512"/>
      <c r="FB152" s="2512" t="str">
        <f t="shared" si="2"/>
        <v/>
      </c>
      <c r="FC152" s="2512"/>
      <c r="FD152" s="2512"/>
    </row>
    <row r="153" spans="1:160" s="14958" customFormat="1" ht="21" customHeight="1">
      <c r="A153" s="2502"/>
      <c r="B153" s="2502"/>
      <c r="C153" s="2502"/>
      <c r="D153" s="2502"/>
      <c r="E153" s="16125"/>
      <c r="F153" s="16125" t="s">
        <v>132</v>
      </c>
      <c r="G153" s="16125"/>
      <c r="H153" s="16125"/>
      <c r="I153" s="16145"/>
      <c r="J153" s="16122"/>
      <c r="K153" s="2502"/>
      <c r="L153" s="2503"/>
      <c r="M153" s="2513"/>
      <c r="N153" s="2513"/>
      <c r="O153" s="2513"/>
      <c r="P153" s="16123"/>
      <c r="Q153" s="16123"/>
      <c r="R153" s="2515"/>
      <c r="S153" s="6306"/>
      <c r="T153" s="6307" t="s">
        <v>621</v>
      </c>
      <c r="U153" s="6308"/>
      <c r="V153" s="6309"/>
      <c r="W153" s="6310"/>
      <c r="X153" s="6311"/>
      <c r="Y153" s="6312"/>
      <c r="Z153" s="6313"/>
      <c r="AA153" s="6314"/>
      <c r="AB153" s="6315"/>
      <c r="AC153" s="6316"/>
      <c r="AD153" s="6317"/>
      <c r="AE153" s="6318"/>
      <c r="AF153" s="6319"/>
      <c r="AG153" s="6320"/>
      <c r="AH153" s="6321"/>
      <c r="AI153" s="6322"/>
      <c r="AJ153" s="6323"/>
      <c r="AK153" s="6324"/>
      <c r="AL153" s="6325"/>
      <c r="AM153" s="6326"/>
      <c r="AN153" s="6327"/>
      <c r="AO153" s="6328"/>
      <c r="AP153" s="6329"/>
      <c r="AQ153" s="6330"/>
      <c r="AR153" s="6331"/>
      <c r="AS153" s="6332"/>
      <c r="AT153" s="6333"/>
      <c r="AU153" s="6334"/>
      <c r="AV153" s="6335"/>
      <c r="AW153" s="6336"/>
      <c r="AX153" s="6337"/>
      <c r="AY153" s="6338"/>
      <c r="AZ153" s="6339"/>
      <c r="BA153" s="6340"/>
      <c r="BB153" s="6341"/>
      <c r="BC153" s="6342"/>
      <c r="BD153" s="6343"/>
      <c r="BE153" s="6344"/>
      <c r="BF153" s="6345"/>
      <c r="BG153" s="6346"/>
      <c r="BH153" s="6347"/>
      <c r="BI153" s="6348"/>
      <c r="BJ153" s="6349"/>
      <c r="BK153" s="6350"/>
      <c r="BL153" s="6351"/>
      <c r="BM153" s="6352"/>
      <c r="BN153" s="6353"/>
      <c r="BO153" s="6354"/>
      <c r="BP153" s="6355"/>
      <c r="BQ153" s="6356"/>
      <c r="BR153" s="6357"/>
      <c r="BS153" s="6358"/>
      <c r="BT153" s="6359"/>
      <c r="BU153" s="6360"/>
      <c r="BV153" s="6361"/>
      <c r="BW153" s="6362"/>
      <c r="BX153" s="6363"/>
      <c r="BY153" s="6364"/>
      <c r="BZ153" s="6365"/>
      <c r="CA153" s="6366"/>
      <c r="CB153" s="6367"/>
      <c r="CC153" s="6368"/>
      <c r="CD153" s="6369"/>
      <c r="CE153" s="6370"/>
      <c r="CF153" s="6371"/>
      <c r="CG153" s="6372"/>
      <c r="CH153" s="6373"/>
      <c r="CI153" s="6374"/>
      <c r="CJ153" s="6375"/>
      <c r="CK153" s="6376"/>
      <c r="CL153" s="6377"/>
      <c r="CM153" s="6378"/>
      <c r="CN153" s="6379"/>
      <c r="CO153" s="6380"/>
      <c r="CP153" s="6381"/>
      <c r="CQ153" s="6382"/>
      <c r="CR153" s="6383"/>
      <c r="CS153" s="6384"/>
      <c r="CT153" s="6385"/>
      <c r="CU153" s="6386"/>
      <c r="CV153" s="6387"/>
      <c r="CW153" s="6388"/>
      <c r="CX153" s="6389"/>
      <c r="CY153" s="6390"/>
      <c r="CZ153" s="6391"/>
      <c r="DA153" s="6392"/>
      <c r="DB153" s="6393"/>
      <c r="DC153" s="6394"/>
      <c r="DD153" s="6395"/>
      <c r="DE153" s="6396"/>
      <c r="DF153" s="6397"/>
      <c r="DG153" s="6398"/>
      <c r="DH153" s="6399"/>
      <c r="DI153" s="6400"/>
      <c r="DJ153" s="6401"/>
      <c r="DK153" s="6402"/>
      <c r="DL153" s="6403"/>
      <c r="DM153" s="6404"/>
      <c r="DN153" s="6405"/>
      <c r="DO153" s="6406"/>
      <c r="DP153" s="6407"/>
      <c r="DQ153" s="6408"/>
      <c r="DR153" s="6409"/>
      <c r="DS153" s="6410"/>
      <c r="DT153" s="6411"/>
      <c r="DU153" s="6412"/>
      <c r="DV153" s="6413"/>
      <c r="DW153" s="6414"/>
      <c r="DX153" s="6415"/>
      <c r="DY153" s="6416"/>
      <c r="DZ153" s="6417"/>
      <c r="EA153" s="6418"/>
      <c r="EB153" s="6419"/>
      <c r="EC153" s="6420"/>
      <c r="ED153" s="6421"/>
      <c r="EE153" s="6422"/>
      <c r="EF153" s="6423"/>
      <c r="EG153" s="6424"/>
      <c r="EH153" s="6425"/>
      <c r="EI153" s="6426"/>
      <c r="EJ153" s="6427"/>
      <c r="EK153" s="6428"/>
      <c r="EL153" s="6429"/>
      <c r="EM153" s="14959"/>
      <c r="EN153" s="14960"/>
      <c r="EO153" s="14961"/>
      <c r="EP153" s="14962"/>
      <c r="EQ153" s="14963"/>
      <c r="ER153" s="14964"/>
      <c r="ES153" s="14965"/>
      <c r="ET153" s="14966"/>
      <c r="EU153" s="14967"/>
      <c r="EV153" s="14968"/>
      <c r="EW153" s="14969"/>
      <c r="EX153" s="6430"/>
      <c r="EY153" s="2511" t="s">
        <v>622</v>
      </c>
      <c r="EZ153" s="2199"/>
      <c r="FA153" s="2512"/>
      <c r="FB153" s="2512" t="str">
        <f t="shared" si="2"/>
        <v>Добавить значение признака дифференциации</v>
      </c>
      <c r="FC153" s="2512"/>
      <c r="FD153" s="2512"/>
    </row>
    <row r="154" spans="1:160" s="14970" customFormat="1" ht="21" customHeight="1">
      <c r="A154" s="2502"/>
      <c r="B154" s="2502"/>
      <c r="C154" s="2502"/>
      <c r="D154" s="2502"/>
      <c r="E154" s="16125"/>
      <c r="F154" s="16125" t="s">
        <v>132</v>
      </c>
      <c r="G154" s="16125"/>
      <c r="H154" s="16125"/>
      <c r="I154" s="16122"/>
      <c r="J154" s="2502"/>
      <c r="K154" s="2502"/>
      <c r="L154" s="2503"/>
      <c r="M154" s="2513"/>
      <c r="N154" s="2513"/>
      <c r="O154" s="2513"/>
      <c r="P154" s="16123"/>
      <c r="Q154" s="2514"/>
      <c r="R154" s="2515"/>
      <c r="S154" s="6431"/>
      <c r="T154" s="6432" t="s">
        <v>549</v>
      </c>
      <c r="U154" s="6433"/>
      <c r="V154" s="6434"/>
      <c r="W154" s="6435"/>
      <c r="X154" s="6436"/>
      <c r="Y154" s="6437"/>
      <c r="Z154" s="6438"/>
      <c r="AA154" s="6439"/>
      <c r="AB154" s="6440"/>
      <c r="AC154" s="6441"/>
      <c r="AD154" s="6442"/>
      <c r="AE154" s="6443"/>
      <c r="AF154" s="6444"/>
      <c r="AG154" s="6445"/>
      <c r="AH154" s="6446"/>
      <c r="AI154" s="6447"/>
      <c r="AJ154" s="6448"/>
      <c r="AK154" s="6449"/>
      <c r="AL154" s="6450"/>
      <c r="AM154" s="6451"/>
      <c r="AN154" s="6452"/>
      <c r="AO154" s="6453"/>
      <c r="AP154" s="6454"/>
      <c r="AQ154" s="6455"/>
      <c r="AR154" s="6456"/>
      <c r="AS154" s="6457"/>
      <c r="AT154" s="6458"/>
      <c r="AU154" s="6459"/>
      <c r="AV154" s="6460"/>
      <c r="AW154" s="6461"/>
      <c r="AX154" s="6462"/>
      <c r="AY154" s="6463"/>
      <c r="AZ154" s="6464"/>
      <c r="BA154" s="6465"/>
      <c r="BB154" s="6466"/>
      <c r="BC154" s="6467"/>
      <c r="BD154" s="6468"/>
      <c r="BE154" s="6469"/>
      <c r="BF154" s="6470"/>
      <c r="BG154" s="6471"/>
      <c r="BH154" s="6472"/>
      <c r="BI154" s="6473"/>
      <c r="BJ154" s="6474"/>
      <c r="BK154" s="6475"/>
      <c r="BL154" s="6476"/>
      <c r="BM154" s="6477"/>
      <c r="BN154" s="6478"/>
      <c r="BO154" s="6479"/>
      <c r="BP154" s="6480"/>
      <c r="BQ154" s="6481"/>
      <c r="BR154" s="6482"/>
      <c r="BS154" s="6483"/>
      <c r="BT154" s="6484"/>
      <c r="BU154" s="6485"/>
      <c r="BV154" s="6486"/>
      <c r="BW154" s="6487"/>
      <c r="BX154" s="6488"/>
      <c r="BY154" s="6489"/>
      <c r="BZ154" s="6490"/>
      <c r="CA154" s="6491"/>
      <c r="CB154" s="6492"/>
      <c r="CC154" s="6493"/>
      <c r="CD154" s="6494"/>
      <c r="CE154" s="6495"/>
      <c r="CF154" s="6496"/>
      <c r="CG154" s="6497"/>
      <c r="CH154" s="6498"/>
      <c r="CI154" s="6499"/>
      <c r="CJ154" s="6500"/>
      <c r="CK154" s="6501"/>
      <c r="CL154" s="6502"/>
      <c r="CM154" s="6503"/>
      <c r="CN154" s="6504"/>
      <c r="CO154" s="6505"/>
      <c r="CP154" s="6506"/>
      <c r="CQ154" s="6507"/>
      <c r="CR154" s="6508"/>
      <c r="CS154" s="6509"/>
      <c r="CT154" s="6510"/>
      <c r="CU154" s="6511"/>
      <c r="CV154" s="6512"/>
      <c r="CW154" s="6513"/>
      <c r="CX154" s="6514"/>
      <c r="CY154" s="6515"/>
      <c r="CZ154" s="6516"/>
      <c r="DA154" s="6517"/>
      <c r="DB154" s="6518"/>
      <c r="DC154" s="6519"/>
      <c r="DD154" s="6520"/>
      <c r="DE154" s="6521"/>
      <c r="DF154" s="6522"/>
      <c r="DG154" s="6523"/>
      <c r="DH154" s="6524"/>
      <c r="DI154" s="6525"/>
      <c r="DJ154" s="6526"/>
      <c r="DK154" s="6527"/>
      <c r="DL154" s="6528"/>
      <c r="DM154" s="6529"/>
      <c r="DN154" s="6530"/>
      <c r="DO154" s="6531"/>
      <c r="DP154" s="6532"/>
      <c r="DQ154" s="6533"/>
      <c r="DR154" s="6534"/>
      <c r="DS154" s="6535"/>
      <c r="DT154" s="6536"/>
      <c r="DU154" s="6537"/>
      <c r="DV154" s="6538"/>
      <c r="DW154" s="6539"/>
      <c r="DX154" s="6540"/>
      <c r="DY154" s="6541"/>
      <c r="DZ154" s="6542"/>
      <c r="EA154" s="6543"/>
      <c r="EB154" s="6544"/>
      <c r="EC154" s="6545"/>
      <c r="ED154" s="6546"/>
      <c r="EE154" s="6547"/>
      <c r="EF154" s="6548"/>
      <c r="EG154" s="6549"/>
      <c r="EH154" s="6550"/>
      <c r="EI154" s="6551"/>
      <c r="EJ154" s="6552"/>
      <c r="EK154" s="6553"/>
      <c r="EL154" s="6554"/>
      <c r="EM154" s="14971"/>
      <c r="EN154" s="14972"/>
      <c r="EO154" s="14973"/>
      <c r="EP154" s="14974"/>
      <c r="EQ154" s="14975"/>
      <c r="ER154" s="14976"/>
      <c r="ES154" s="14977"/>
      <c r="ET154" s="14978"/>
      <c r="EU154" s="14979"/>
      <c r="EV154" s="14980"/>
      <c r="EW154" s="14981"/>
      <c r="EX154" s="6555"/>
      <c r="EY154" s="6556"/>
      <c r="EZ154" s="2199"/>
      <c r="FA154" s="2512"/>
      <c r="FB154" s="2512" t="str">
        <f t="shared" si="2"/>
        <v>Добавить группу потребителей</v>
      </c>
      <c r="FC154" s="2512"/>
      <c r="FD154" s="2512"/>
    </row>
    <row r="155" spans="1:160" s="14982" customFormat="1" ht="21" customHeight="1">
      <c r="A155" s="2502"/>
      <c r="B155" s="2502"/>
      <c r="C155" s="2502"/>
      <c r="D155" s="2502"/>
      <c r="E155" s="16125"/>
      <c r="F155" s="16125" t="s">
        <v>132</v>
      </c>
      <c r="G155" s="16125"/>
      <c r="H155" s="16124"/>
      <c r="I155" s="2502"/>
      <c r="J155" s="2502"/>
      <c r="K155" s="2502"/>
      <c r="L155" s="2503"/>
      <c r="M155" s="2504"/>
      <c r="N155" s="2504"/>
      <c r="O155" s="2193"/>
      <c r="P155" s="2775"/>
      <c r="Q155" s="2776"/>
      <c r="R155" s="2777"/>
      <c r="S155" s="6557"/>
      <c r="T155" s="6558" t="s">
        <v>623</v>
      </c>
      <c r="U155" s="6559"/>
      <c r="V155" s="6560"/>
      <c r="W155" s="6561"/>
      <c r="X155" s="6562"/>
      <c r="Y155" s="6563"/>
      <c r="Z155" s="6564"/>
      <c r="AA155" s="6565"/>
      <c r="AB155" s="6566"/>
      <c r="AC155" s="6567"/>
      <c r="AD155" s="6568"/>
      <c r="AE155" s="6569"/>
      <c r="AF155" s="6570"/>
      <c r="AG155" s="6571"/>
      <c r="AH155" s="6572"/>
      <c r="AI155" s="6573"/>
      <c r="AJ155" s="6574"/>
      <c r="AK155" s="6575"/>
      <c r="AL155" s="6576"/>
      <c r="AM155" s="6577"/>
      <c r="AN155" s="6578"/>
      <c r="AO155" s="6579"/>
      <c r="AP155" s="6580"/>
      <c r="AQ155" s="6581"/>
      <c r="AR155" s="6582"/>
      <c r="AS155" s="6583"/>
      <c r="AT155" s="6584"/>
      <c r="AU155" s="6585"/>
      <c r="AV155" s="6586"/>
      <c r="AW155" s="6587"/>
      <c r="AX155" s="6588"/>
      <c r="AY155" s="6589"/>
      <c r="AZ155" s="6590"/>
      <c r="BA155" s="6591"/>
      <c r="BB155" s="6592"/>
      <c r="BC155" s="6593"/>
      <c r="BD155" s="6594"/>
      <c r="BE155" s="6595"/>
      <c r="BF155" s="6596"/>
      <c r="BG155" s="6597"/>
      <c r="BH155" s="6598"/>
      <c r="BI155" s="6599"/>
      <c r="BJ155" s="6600"/>
      <c r="BK155" s="6601"/>
      <c r="BL155" s="6602"/>
      <c r="BM155" s="6603"/>
      <c r="BN155" s="6604"/>
      <c r="BO155" s="6605"/>
      <c r="BP155" s="6606"/>
      <c r="BQ155" s="6607"/>
      <c r="BR155" s="6608"/>
      <c r="BS155" s="6609"/>
      <c r="BT155" s="6610"/>
      <c r="BU155" s="6611"/>
      <c r="BV155" s="6612"/>
      <c r="BW155" s="6613"/>
      <c r="BX155" s="6614"/>
      <c r="BY155" s="6615"/>
      <c r="BZ155" s="6616"/>
      <c r="CA155" s="6617"/>
      <c r="CB155" s="6618"/>
      <c r="CC155" s="6619"/>
      <c r="CD155" s="6620"/>
      <c r="CE155" s="6621"/>
      <c r="CF155" s="6622"/>
      <c r="CG155" s="6623"/>
      <c r="CH155" s="6624"/>
      <c r="CI155" s="6625"/>
      <c r="CJ155" s="6626"/>
      <c r="CK155" s="6627"/>
      <c r="CL155" s="6628"/>
      <c r="CM155" s="6629"/>
      <c r="CN155" s="6630"/>
      <c r="CO155" s="6631"/>
      <c r="CP155" s="6632"/>
      <c r="CQ155" s="6633"/>
      <c r="CR155" s="6634"/>
      <c r="CS155" s="6635"/>
      <c r="CT155" s="6636"/>
      <c r="CU155" s="6637"/>
      <c r="CV155" s="6638"/>
      <c r="CW155" s="6639"/>
      <c r="CX155" s="6640"/>
      <c r="CY155" s="6641"/>
      <c r="CZ155" s="6642"/>
      <c r="DA155" s="6643"/>
      <c r="DB155" s="6644"/>
      <c r="DC155" s="6645"/>
      <c r="DD155" s="6646"/>
      <c r="DE155" s="6647"/>
      <c r="DF155" s="6648"/>
      <c r="DG155" s="6649"/>
      <c r="DH155" s="6650"/>
      <c r="DI155" s="6651"/>
      <c r="DJ155" s="6652"/>
      <c r="DK155" s="6653"/>
      <c r="DL155" s="6654"/>
      <c r="DM155" s="6655"/>
      <c r="DN155" s="6656"/>
      <c r="DO155" s="6657"/>
      <c r="DP155" s="6658"/>
      <c r="DQ155" s="6659"/>
      <c r="DR155" s="6660"/>
      <c r="DS155" s="6661"/>
      <c r="DT155" s="6662"/>
      <c r="DU155" s="6663"/>
      <c r="DV155" s="6664"/>
      <c r="DW155" s="6665"/>
      <c r="DX155" s="6666"/>
      <c r="DY155" s="6667"/>
      <c r="DZ155" s="6668"/>
      <c r="EA155" s="6669"/>
      <c r="EB155" s="6670"/>
      <c r="EC155" s="6671"/>
      <c r="ED155" s="6672"/>
      <c r="EE155" s="6673"/>
      <c r="EF155" s="6674"/>
      <c r="EG155" s="6675"/>
      <c r="EH155" s="6676"/>
      <c r="EI155" s="6677"/>
      <c r="EJ155" s="6678"/>
      <c r="EK155" s="6679"/>
      <c r="EL155" s="6680"/>
      <c r="EM155" s="14983"/>
      <c r="EN155" s="14984"/>
      <c r="EO155" s="14985"/>
      <c r="EP155" s="14986"/>
      <c r="EQ155" s="14987"/>
      <c r="ER155" s="14988"/>
      <c r="ES155" s="14989"/>
      <c r="ET155" s="14990"/>
      <c r="EU155" s="14991"/>
      <c r="EV155" s="14992"/>
      <c r="EW155" s="14993"/>
      <c r="EX155" s="6681"/>
      <c r="EY155" s="6682"/>
      <c r="EZ155" s="2199"/>
      <c r="FA155" s="2512"/>
      <c r="FB155" s="2512" t="str">
        <f t="shared" si="2"/>
        <v>Добавить наименование признака дифференциации</v>
      </c>
      <c r="FC155" s="2512"/>
      <c r="FD155" s="2512"/>
    </row>
    <row r="156" spans="1:160" s="14994" customFormat="1" ht="14.25" customHeight="1">
      <c r="A156" s="3283"/>
      <c r="B156" s="3283"/>
      <c r="C156" s="3283"/>
      <c r="D156" s="3283"/>
      <c r="E156" s="16125"/>
      <c r="F156" s="16124" t="s">
        <v>132</v>
      </c>
      <c r="G156" s="3283"/>
      <c r="H156" s="3283"/>
      <c r="I156" s="3283"/>
      <c r="J156" s="3283"/>
      <c r="K156" s="3283"/>
      <c r="L156" s="3284"/>
      <c r="M156" s="3285"/>
      <c r="N156" s="3285"/>
      <c r="O156" s="2199"/>
      <c r="P156" s="3286"/>
      <c r="Q156" s="3287"/>
      <c r="R156" s="3286"/>
      <c r="S156" s="3288"/>
      <c r="T156" s="3289" t="s">
        <v>290</v>
      </c>
      <c r="U156" s="2192"/>
      <c r="V156" s="2192"/>
      <c r="W156" s="2192"/>
      <c r="X156" s="2192"/>
      <c r="Y156" s="2192"/>
      <c r="Z156" s="2192"/>
      <c r="AA156" s="2192"/>
      <c r="AB156" s="2192"/>
      <c r="AC156" s="2192"/>
      <c r="AD156" s="2192"/>
      <c r="AE156" s="2192"/>
      <c r="AF156" s="2192"/>
      <c r="AG156" s="2192"/>
      <c r="AH156" s="2192"/>
      <c r="AI156" s="2192"/>
      <c r="AJ156" s="2192"/>
      <c r="AK156" s="2192"/>
      <c r="AL156" s="2192"/>
      <c r="AM156" s="2192"/>
      <c r="AN156" s="2192"/>
      <c r="AO156" s="2192"/>
      <c r="AP156" s="2192"/>
      <c r="AQ156" s="2192"/>
      <c r="AR156" s="2192"/>
      <c r="AS156" s="2192"/>
      <c r="AT156" s="2192"/>
      <c r="AU156" s="2192"/>
      <c r="AV156" s="2192"/>
      <c r="AW156" s="2192"/>
      <c r="AX156" s="2192"/>
      <c r="AY156" s="2192"/>
      <c r="AZ156" s="2192"/>
      <c r="BA156" s="2192"/>
      <c r="BB156" s="2192"/>
      <c r="BC156" s="2192"/>
      <c r="BD156" s="2192"/>
      <c r="BE156" s="2192"/>
      <c r="BF156" s="2192"/>
      <c r="BG156" s="2192"/>
      <c r="BH156" s="2192"/>
      <c r="BI156" s="2192"/>
      <c r="BJ156" s="2192"/>
      <c r="BK156" s="2192"/>
      <c r="BL156" s="2192"/>
      <c r="BM156" s="2192"/>
      <c r="BN156" s="2192"/>
      <c r="BO156" s="2192"/>
      <c r="BP156" s="2192"/>
      <c r="BQ156" s="2192"/>
      <c r="BR156" s="2192"/>
      <c r="BS156" s="2192"/>
      <c r="BT156" s="2192"/>
      <c r="BU156" s="2192"/>
      <c r="BV156" s="2192"/>
      <c r="BW156" s="2192"/>
      <c r="BX156" s="2192"/>
      <c r="BY156" s="2192"/>
      <c r="BZ156" s="2192"/>
      <c r="CA156" s="2192"/>
      <c r="CB156" s="2192"/>
      <c r="CC156" s="2192"/>
      <c r="CD156" s="2192"/>
      <c r="CE156" s="2192"/>
      <c r="CF156" s="2192"/>
      <c r="CG156" s="2192"/>
      <c r="CH156" s="2192"/>
      <c r="CI156" s="2192"/>
      <c r="CJ156" s="2192"/>
      <c r="CK156" s="2192"/>
      <c r="CL156" s="2192"/>
      <c r="CM156" s="2192"/>
      <c r="CN156" s="2192"/>
      <c r="CO156" s="2192"/>
      <c r="CP156" s="2192"/>
      <c r="CQ156" s="2192"/>
      <c r="CR156" s="2192"/>
      <c r="CS156" s="2192"/>
      <c r="CT156" s="2192"/>
      <c r="CU156" s="2192"/>
      <c r="CV156" s="2192"/>
      <c r="CW156" s="2192"/>
      <c r="CX156" s="2192"/>
      <c r="CY156" s="2192"/>
      <c r="CZ156" s="2192"/>
      <c r="DA156" s="2192"/>
      <c r="DB156" s="2192"/>
      <c r="DC156" s="2192"/>
      <c r="DD156" s="2192"/>
      <c r="DE156" s="2192"/>
      <c r="DF156" s="2192"/>
      <c r="DG156" s="2192"/>
      <c r="DH156" s="2192"/>
      <c r="DI156" s="2192"/>
      <c r="DJ156" s="2192"/>
      <c r="DK156" s="2192"/>
      <c r="DL156" s="2192"/>
      <c r="DM156" s="2192"/>
      <c r="DN156" s="2192"/>
      <c r="DO156" s="2192"/>
      <c r="DP156" s="2192"/>
      <c r="DQ156" s="2192"/>
      <c r="DR156" s="2192"/>
      <c r="DS156" s="2192"/>
      <c r="DT156" s="2192"/>
      <c r="DU156" s="2192"/>
      <c r="DV156" s="2192"/>
      <c r="DW156" s="2192"/>
      <c r="DX156" s="2192"/>
      <c r="DY156" s="2192"/>
      <c r="DZ156" s="2192"/>
      <c r="EA156" s="2192"/>
      <c r="EB156" s="2192"/>
      <c r="EC156" s="2192"/>
      <c r="ED156" s="2192"/>
      <c r="EE156" s="2192"/>
      <c r="EF156" s="2192"/>
      <c r="EG156" s="2192"/>
      <c r="EH156" s="2192"/>
      <c r="EI156" s="2192"/>
      <c r="EJ156" s="2192"/>
      <c r="EK156" s="2192"/>
      <c r="EL156" s="2192"/>
      <c r="EM156" s="14483"/>
      <c r="EN156" s="14483"/>
      <c r="EO156" s="14483"/>
      <c r="EP156" s="14483"/>
      <c r="EQ156" s="14483"/>
      <c r="ER156" s="14483"/>
      <c r="ES156" s="14483"/>
      <c r="ET156" s="14483"/>
      <c r="EU156" s="14483"/>
      <c r="EV156" s="14483"/>
      <c r="EW156" s="14483"/>
      <c r="EX156" s="2192"/>
      <c r="EY156" s="2192"/>
      <c r="EZ156" s="2199"/>
      <c r="FA156" s="2512"/>
      <c r="FB156" s="2512" t="str">
        <f t="shared" si="2"/>
        <v>Добавить централизованную систему для дифференциации</v>
      </c>
      <c r="FC156" s="2512"/>
      <c r="FD156" s="2512"/>
    </row>
    <row r="157" spans="1:160" s="14421" customFormat="1" ht="0" hidden="1" customHeight="1">
      <c r="A157" s="1221" t="s">
        <v>284</v>
      </c>
      <c r="B157" s="1221"/>
      <c r="C157" s="1221"/>
      <c r="D157" s="1221"/>
      <c r="E157" s="16124"/>
      <c r="F157" s="1221"/>
      <c r="G157" s="1221"/>
      <c r="H157" s="1221"/>
      <c r="I157" s="1221"/>
      <c r="J157" s="1221"/>
      <c r="K157" s="1221"/>
      <c r="L157" s="1224"/>
      <c r="M157" s="1200"/>
      <c r="N157" s="1200"/>
      <c r="O157" s="425"/>
      <c r="P157" s="295"/>
      <c r="Q157" s="1222"/>
      <c r="R157" s="295"/>
      <c r="S157" s="1201"/>
      <c r="T157" s="1204" t="s">
        <v>326</v>
      </c>
      <c r="U157" s="1203"/>
      <c r="V157" s="1203"/>
      <c r="W157" s="1203"/>
      <c r="X157" s="1203"/>
      <c r="Y157" s="1203"/>
      <c r="Z157" s="1203"/>
      <c r="AA157" s="1203"/>
      <c r="AB157" s="1203"/>
      <c r="AC157" s="1203"/>
      <c r="AD157" s="1203"/>
      <c r="AE157" s="1203"/>
      <c r="AF157" s="1203"/>
      <c r="AG157" s="1203"/>
      <c r="AH157" s="1203"/>
      <c r="AI157" s="1203"/>
      <c r="AJ157" s="1203"/>
      <c r="AK157" s="1203"/>
      <c r="AL157" s="1203"/>
      <c r="AM157" s="1203"/>
      <c r="AN157" s="1203"/>
      <c r="AO157" s="1203"/>
      <c r="AP157" s="1203"/>
      <c r="AQ157" s="1203"/>
      <c r="AR157" s="2192"/>
      <c r="AS157" s="2192"/>
      <c r="AT157" s="2192"/>
      <c r="AU157" s="2192"/>
      <c r="AV157" s="2192"/>
      <c r="AW157" s="2192"/>
      <c r="AX157" s="2192"/>
      <c r="AY157" s="2192"/>
      <c r="AZ157" s="2192"/>
      <c r="BA157" s="2192"/>
      <c r="BB157" s="2192"/>
      <c r="BC157" s="2192"/>
      <c r="BD157" s="2192"/>
      <c r="BE157" s="2192"/>
      <c r="BF157" s="2192"/>
      <c r="BG157" s="2192"/>
      <c r="BH157" s="2192"/>
      <c r="BI157" s="2192"/>
      <c r="BJ157" s="2192"/>
      <c r="BK157" s="2192"/>
      <c r="BL157" s="2192"/>
      <c r="BM157" s="2192"/>
      <c r="BN157" s="2192"/>
      <c r="BO157" s="2192"/>
      <c r="BP157" s="2192"/>
      <c r="BQ157" s="2192"/>
      <c r="BR157" s="2192"/>
      <c r="BS157" s="2192"/>
      <c r="BT157" s="2192"/>
      <c r="BU157" s="2192"/>
      <c r="BV157" s="2192"/>
      <c r="BW157" s="2192"/>
      <c r="BX157" s="2192"/>
      <c r="BY157" s="2192"/>
      <c r="BZ157" s="2192"/>
      <c r="CA157" s="2192"/>
      <c r="CB157" s="2192"/>
      <c r="CC157" s="2192"/>
      <c r="CD157" s="2192"/>
      <c r="CE157" s="2192"/>
      <c r="CF157" s="2192"/>
      <c r="CG157" s="2192"/>
      <c r="CH157" s="2192"/>
      <c r="CI157" s="2192"/>
      <c r="CJ157" s="2192"/>
      <c r="CK157" s="2192"/>
      <c r="CL157" s="2192"/>
      <c r="CM157" s="2192"/>
      <c r="CN157" s="2192"/>
      <c r="CO157" s="2192"/>
      <c r="CP157" s="2192"/>
      <c r="CQ157" s="2192"/>
      <c r="CR157" s="2192"/>
      <c r="CS157" s="2192"/>
      <c r="CT157" s="2192"/>
      <c r="CU157" s="2192"/>
      <c r="CV157" s="2192"/>
      <c r="CW157" s="2192"/>
      <c r="CX157" s="2192"/>
      <c r="CY157" s="2192"/>
      <c r="CZ157" s="2192"/>
      <c r="DA157" s="2192"/>
      <c r="DB157" s="2192"/>
      <c r="DC157" s="2192"/>
      <c r="DD157" s="2192"/>
      <c r="DE157" s="2192"/>
      <c r="DF157" s="2192"/>
      <c r="DG157" s="2192"/>
      <c r="DH157" s="2192"/>
      <c r="DI157" s="2192"/>
      <c r="DJ157" s="2192"/>
      <c r="DK157" s="2192"/>
      <c r="DL157" s="2192"/>
      <c r="DM157" s="2192"/>
      <c r="DN157" s="2192"/>
      <c r="DO157" s="2192"/>
      <c r="DP157" s="2192"/>
      <c r="DQ157" s="2192"/>
      <c r="DR157" s="2192"/>
      <c r="DS157" s="2192"/>
      <c r="DT157" s="2192"/>
      <c r="DU157" s="2192"/>
      <c r="DV157" s="2192"/>
      <c r="DW157" s="2192"/>
      <c r="DX157" s="2192"/>
      <c r="DY157" s="2192"/>
      <c r="DZ157" s="2192"/>
      <c r="EA157" s="2192"/>
      <c r="EB157" s="2192"/>
      <c r="EC157" s="2192"/>
      <c r="ED157" s="2192"/>
      <c r="EE157" s="2192"/>
      <c r="EF157" s="2192"/>
      <c r="EG157" s="2192"/>
      <c r="EH157" s="2192"/>
      <c r="EI157" s="2192"/>
      <c r="EJ157" s="2192"/>
      <c r="EK157" s="2192"/>
      <c r="EL157" s="2192"/>
      <c r="EM157" s="14483"/>
      <c r="EN157" s="14483"/>
      <c r="EO157" s="14483"/>
      <c r="EP157" s="14483"/>
      <c r="EQ157" s="14483"/>
      <c r="ER157" s="14483"/>
      <c r="ES157" s="14483"/>
      <c r="ET157" s="14483"/>
      <c r="EU157" s="14483"/>
      <c r="EV157" s="14483"/>
      <c r="EW157" s="14483"/>
      <c r="EX157" s="1203"/>
      <c r="EY157" s="1203"/>
      <c r="FA157" s="407"/>
      <c r="FB157" s="407" t="str">
        <f t="shared" si="2"/>
        <v>Добавить территорию для дифференциации</v>
      </c>
      <c r="FC157" s="407"/>
      <c r="FD157" s="407"/>
    </row>
    <row r="158" spans="1:160" s="14995" customFormat="1" ht="23.25" customHeight="1">
      <c r="A158" s="2502" t="s">
        <v>329</v>
      </c>
      <c r="B158" s="2502"/>
      <c r="C158" s="2502"/>
      <c r="D158" s="2502"/>
      <c r="E158" s="16124" t="s">
        <v>102</v>
      </c>
      <c r="F158" s="2502"/>
      <c r="G158" s="2502"/>
      <c r="H158" s="2502"/>
      <c r="I158" s="2502"/>
      <c r="J158" s="2502"/>
      <c r="K158" s="2502"/>
      <c r="L158" s="2503"/>
      <c r="M158" s="2504"/>
      <c r="N158" s="2504"/>
      <c r="O158" s="2504"/>
      <c r="P158" s="6683"/>
      <c r="Q158" s="2775"/>
      <c r="R158" s="2777"/>
      <c r="S158" s="2508" t="str">
        <f>INDEX(PT_DIFFERENTIATION_NUM_NTAR,MATCH(A158,PT_DIFFERENTIATION_NTAR_ID,0))</f>
        <v>2</v>
      </c>
      <c r="T158" s="6684" t="s">
        <v>158</v>
      </c>
      <c r="U158" s="2510"/>
      <c r="V158" s="16110"/>
      <c r="W158" s="16111"/>
      <c r="X158" s="16111"/>
      <c r="Y158" s="16111"/>
      <c r="Z158" s="16111"/>
      <c r="AA158" s="16111"/>
      <c r="AB158" s="16111"/>
      <c r="AC158" s="16111"/>
      <c r="AD158" s="16111"/>
      <c r="AE158" s="16111"/>
      <c r="AF158" s="16112"/>
      <c r="AG158" s="16110" t="str">
        <f>INDEX(PT_DIFFERENTIATION_NTAR,MATCH(A158,PT_DIFFERENTIATION_NTAR_ID,0))</f>
        <v>Тариф на горячую воду в закрытой системе горячего водоснабжения, поставляемую потребителям</v>
      </c>
      <c r="AH158" s="16111"/>
      <c r="AI158" s="16111"/>
      <c r="AJ158" s="16111"/>
      <c r="AK158" s="16111"/>
      <c r="AL158" s="16111"/>
      <c r="AM158" s="16111"/>
      <c r="AN158" s="16111"/>
      <c r="AO158" s="16111"/>
      <c r="AP158" s="16111"/>
      <c r="AQ158" s="16111"/>
      <c r="AR158" s="16110"/>
      <c r="AS158" s="16111"/>
      <c r="AT158" s="16111"/>
      <c r="AU158" s="16111"/>
      <c r="AV158" s="16111"/>
      <c r="AW158" s="16111"/>
      <c r="AX158" s="16111"/>
      <c r="AY158" s="16111"/>
      <c r="AZ158" s="16111"/>
      <c r="BA158" s="16111"/>
      <c r="BB158" s="16112"/>
      <c r="BC158" s="16110"/>
      <c r="BD158" s="16111"/>
      <c r="BE158" s="16111"/>
      <c r="BF158" s="16111"/>
      <c r="BG158" s="16111"/>
      <c r="BH158" s="16111"/>
      <c r="BI158" s="16111"/>
      <c r="BJ158" s="16111"/>
      <c r="BK158" s="16111"/>
      <c r="BL158" s="16111"/>
      <c r="BM158" s="16112"/>
      <c r="BN158" s="16110"/>
      <c r="BO158" s="16111"/>
      <c r="BP158" s="16111"/>
      <c r="BQ158" s="16111"/>
      <c r="BR158" s="16111"/>
      <c r="BS158" s="16111"/>
      <c r="BT158" s="16111"/>
      <c r="BU158" s="16111"/>
      <c r="BV158" s="16111"/>
      <c r="BW158" s="16111"/>
      <c r="BX158" s="16112"/>
      <c r="BY158" s="16110"/>
      <c r="BZ158" s="16111"/>
      <c r="CA158" s="16111"/>
      <c r="CB158" s="16111"/>
      <c r="CC158" s="16111"/>
      <c r="CD158" s="16111"/>
      <c r="CE158" s="16111"/>
      <c r="CF158" s="16111"/>
      <c r="CG158" s="16111"/>
      <c r="CH158" s="16111"/>
      <c r="CI158" s="16112"/>
      <c r="CJ158" s="16110"/>
      <c r="CK158" s="16111"/>
      <c r="CL158" s="16111"/>
      <c r="CM158" s="16111"/>
      <c r="CN158" s="16111"/>
      <c r="CO158" s="16111"/>
      <c r="CP158" s="16111"/>
      <c r="CQ158" s="16111"/>
      <c r="CR158" s="16111"/>
      <c r="CS158" s="16111"/>
      <c r="CT158" s="16112"/>
      <c r="CU158" s="16110"/>
      <c r="CV158" s="16111"/>
      <c r="CW158" s="16111"/>
      <c r="CX158" s="16111"/>
      <c r="CY158" s="16111"/>
      <c r="CZ158" s="16111"/>
      <c r="DA158" s="16111"/>
      <c r="DB158" s="16111"/>
      <c r="DC158" s="16111"/>
      <c r="DD158" s="16111"/>
      <c r="DE158" s="16112"/>
      <c r="DF158" s="16110"/>
      <c r="DG158" s="16111"/>
      <c r="DH158" s="16111"/>
      <c r="DI158" s="16111"/>
      <c r="DJ158" s="16111"/>
      <c r="DK158" s="16111"/>
      <c r="DL158" s="16111"/>
      <c r="DM158" s="16111"/>
      <c r="DN158" s="16111"/>
      <c r="DO158" s="16111"/>
      <c r="DP158" s="16112"/>
      <c r="DQ158" s="16110"/>
      <c r="DR158" s="16111"/>
      <c r="DS158" s="16111"/>
      <c r="DT158" s="16111"/>
      <c r="DU158" s="16111"/>
      <c r="DV158" s="16111"/>
      <c r="DW158" s="16111"/>
      <c r="DX158" s="16111"/>
      <c r="DY158" s="16111"/>
      <c r="DZ158" s="16111"/>
      <c r="EA158" s="16112"/>
      <c r="EB158" s="16110"/>
      <c r="EC158" s="16111"/>
      <c r="ED158" s="16111"/>
      <c r="EE158" s="16111"/>
      <c r="EF158" s="16111"/>
      <c r="EG158" s="16111"/>
      <c r="EH158" s="16111"/>
      <c r="EI158" s="16111"/>
      <c r="EJ158" s="16111"/>
      <c r="EK158" s="16111"/>
      <c r="EL158" s="16112"/>
      <c r="EM158" s="16110"/>
      <c r="EN158" s="16111"/>
      <c r="EO158" s="16111"/>
      <c r="EP158" s="16111"/>
      <c r="EQ158" s="16111"/>
      <c r="ER158" s="16111"/>
      <c r="ES158" s="16111"/>
      <c r="ET158" s="16111"/>
      <c r="EU158" s="16111"/>
      <c r="EV158" s="16111"/>
      <c r="EW158" s="16112"/>
      <c r="EX158" s="16112"/>
      <c r="EY158" s="25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Z158" s="2199"/>
      <c r="FA158" s="2512"/>
      <c r="FB158" s="2512" t="str">
        <f t="shared" si="2"/>
        <v>Наименование тарифа</v>
      </c>
      <c r="FC158" s="2512"/>
      <c r="FD158" s="2512"/>
    </row>
    <row r="159" spans="1:160" s="14996" customFormat="1" ht="23.25" customHeight="1">
      <c r="A159" s="2502"/>
      <c r="B159" s="2502" t="s">
        <v>330</v>
      </c>
      <c r="C159" s="2502"/>
      <c r="D159" s="2502"/>
      <c r="E159" s="16125">
        <v>1</v>
      </c>
      <c r="F159" s="16124">
        <v>1</v>
      </c>
      <c r="G159" s="2502"/>
      <c r="H159" s="2502"/>
      <c r="I159" s="2502"/>
      <c r="J159" s="2502"/>
      <c r="K159" s="2502"/>
      <c r="L159" s="2503"/>
      <c r="M159" s="2504"/>
      <c r="N159" s="2504"/>
      <c r="O159" s="2504"/>
      <c r="P159" s="2904"/>
      <c r="Q159" s="2506"/>
      <c r="R159" s="2507"/>
      <c r="S159" s="2508" t="str">
        <f>INDEX(PT_DIFFERENTIATION_NUM_TER,MATCH(B159,PT_DIFFERENTIATION_TER_ID,0))</f>
        <v>2.1</v>
      </c>
      <c r="T159" s="2905" t="s">
        <v>534</v>
      </c>
      <c r="U159" s="2510"/>
      <c r="V159" s="16110"/>
      <c r="W159" s="16111"/>
      <c r="X159" s="16111"/>
      <c r="Y159" s="16111"/>
      <c r="Z159" s="16111"/>
      <c r="AA159" s="16111"/>
      <c r="AB159" s="16111"/>
      <c r="AC159" s="16111"/>
      <c r="AD159" s="16111"/>
      <c r="AE159" s="16111"/>
      <c r="AF159" s="16112"/>
      <c r="AG159" s="16110" t="str">
        <f>INDEX(PT_DIFFERENTIATION_TER,MATCH(B159,PT_DIFFERENTIATION_TER_ID,0))</f>
        <v>Территория 1</v>
      </c>
      <c r="AH159" s="16111"/>
      <c r="AI159" s="16111"/>
      <c r="AJ159" s="16111"/>
      <c r="AK159" s="16111"/>
      <c r="AL159" s="16111"/>
      <c r="AM159" s="16111"/>
      <c r="AN159" s="16111"/>
      <c r="AO159" s="16111"/>
      <c r="AP159" s="16111"/>
      <c r="AQ159" s="16111"/>
      <c r="AR159" s="16110"/>
      <c r="AS159" s="16111"/>
      <c r="AT159" s="16111"/>
      <c r="AU159" s="16111"/>
      <c r="AV159" s="16111"/>
      <c r="AW159" s="16111"/>
      <c r="AX159" s="16111"/>
      <c r="AY159" s="16111"/>
      <c r="AZ159" s="16111"/>
      <c r="BA159" s="16111"/>
      <c r="BB159" s="16112"/>
      <c r="BC159" s="16110"/>
      <c r="BD159" s="16111"/>
      <c r="BE159" s="16111"/>
      <c r="BF159" s="16111"/>
      <c r="BG159" s="16111"/>
      <c r="BH159" s="16111"/>
      <c r="BI159" s="16111"/>
      <c r="BJ159" s="16111"/>
      <c r="BK159" s="16111"/>
      <c r="BL159" s="16111"/>
      <c r="BM159" s="16112"/>
      <c r="BN159" s="16110"/>
      <c r="BO159" s="16111"/>
      <c r="BP159" s="16111"/>
      <c r="BQ159" s="16111"/>
      <c r="BR159" s="16111"/>
      <c r="BS159" s="16111"/>
      <c r="BT159" s="16111"/>
      <c r="BU159" s="16111"/>
      <c r="BV159" s="16111"/>
      <c r="BW159" s="16111"/>
      <c r="BX159" s="16112"/>
      <c r="BY159" s="16110"/>
      <c r="BZ159" s="16111"/>
      <c r="CA159" s="16111"/>
      <c r="CB159" s="16111"/>
      <c r="CC159" s="16111"/>
      <c r="CD159" s="16111"/>
      <c r="CE159" s="16111"/>
      <c r="CF159" s="16111"/>
      <c r="CG159" s="16111"/>
      <c r="CH159" s="16111"/>
      <c r="CI159" s="16112"/>
      <c r="CJ159" s="16110"/>
      <c r="CK159" s="16111"/>
      <c r="CL159" s="16111"/>
      <c r="CM159" s="16111"/>
      <c r="CN159" s="16111"/>
      <c r="CO159" s="16111"/>
      <c r="CP159" s="16111"/>
      <c r="CQ159" s="16111"/>
      <c r="CR159" s="16111"/>
      <c r="CS159" s="16111"/>
      <c r="CT159" s="16112"/>
      <c r="CU159" s="16110"/>
      <c r="CV159" s="16111"/>
      <c r="CW159" s="16111"/>
      <c r="CX159" s="16111"/>
      <c r="CY159" s="16111"/>
      <c r="CZ159" s="16111"/>
      <c r="DA159" s="16111"/>
      <c r="DB159" s="16111"/>
      <c r="DC159" s="16111"/>
      <c r="DD159" s="16111"/>
      <c r="DE159" s="16112"/>
      <c r="DF159" s="16110"/>
      <c r="DG159" s="16111"/>
      <c r="DH159" s="16111"/>
      <c r="DI159" s="16111"/>
      <c r="DJ159" s="16111"/>
      <c r="DK159" s="16111"/>
      <c r="DL159" s="16111"/>
      <c r="DM159" s="16111"/>
      <c r="DN159" s="16111"/>
      <c r="DO159" s="16111"/>
      <c r="DP159" s="16112"/>
      <c r="DQ159" s="16110"/>
      <c r="DR159" s="16111"/>
      <c r="DS159" s="16111"/>
      <c r="DT159" s="16111"/>
      <c r="DU159" s="16111"/>
      <c r="DV159" s="16111"/>
      <c r="DW159" s="16111"/>
      <c r="DX159" s="16111"/>
      <c r="DY159" s="16111"/>
      <c r="DZ159" s="16111"/>
      <c r="EA159" s="16112"/>
      <c r="EB159" s="16110"/>
      <c r="EC159" s="16111"/>
      <c r="ED159" s="16111"/>
      <c r="EE159" s="16111"/>
      <c r="EF159" s="16111"/>
      <c r="EG159" s="16111"/>
      <c r="EH159" s="16111"/>
      <c r="EI159" s="16111"/>
      <c r="EJ159" s="16111"/>
      <c r="EK159" s="16111"/>
      <c r="EL159" s="16112"/>
      <c r="EM159" s="16110"/>
      <c r="EN159" s="16111"/>
      <c r="EO159" s="16111"/>
      <c r="EP159" s="16111"/>
      <c r="EQ159" s="16111"/>
      <c r="ER159" s="16111"/>
      <c r="ES159" s="16111"/>
      <c r="ET159" s="16111"/>
      <c r="EU159" s="16111"/>
      <c r="EV159" s="16111"/>
      <c r="EW159" s="16112"/>
      <c r="EX159" s="16112"/>
      <c r="EY159" s="2511" t="s">
        <v>535</v>
      </c>
      <c r="EZ159" s="2199"/>
      <c r="FA159" s="2512"/>
      <c r="FB159" s="2512" t="str">
        <f t="shared" si="2"/>
        <v>Территория действия тарифа</v>
      </c>
      <c r="FC159" s="2512"/>
      <c r="FD159" s="2512"/>
    </row>
    <row r="160" spans="1:160" s="14997" customFormat="1" ht="23.25" customHeight="1">
      <c r="A160" s="2502"/>
      <c r="B160" s="2502"/>
      <c r="C160" s="2502" t="s">
        <v>331</v>
      </c>
      <c r="D160" s="2502"/>
      <c r="E160" s="16125">
        <v>1</v>
      </c>
      <c r="F160" s="16125"/>
      <c r="G160" s="16124">
        <v>1</v>
      </c>
      <c r="H160" s="2502"/>
      <c r="I160" s="2502"/>
      <c r="J160" s="2502"/>
      <c r="K160" s="2502"/>
      <c r="L160" s="2503"/>
      <c r="M160" s="2504"/>
      <c r="N160" s="2504"/>
      <c r="O160" s="2504"/>
      <c r="P160" s="2505"/>
      <c r="Q160" s="2506"/>
      <c r="R160" s="2507"/>
      <c r="S160" s="2508" t="str">
        <f>INDEX(PT_DIFFERENTIATION_NUM_CS,MATCH(C160,PT_DIFFERENTIATION_CS_ID,0))</f>
        <v>2.1.1</v>
      </c>
      <c r="T160" s="2509" t="s">
        <v>665</v>
      </c>
      <c r="U160" s="2510"/>
      <c r="V160" s="16110"/>
      <c r="W160" s="16111"/>
      <c r="X160" s="16111"/>
      <c r="Y160" s="16111"/>
      <c r="Z160" s="16111"/>
      <c r="AA160" s="16111"/>
      <c r="AB160" s="16111"/>
      <c r="AC160" s="16111"/>
      <c r="AD160" s="16111"/>
      <c r="AE160" s="16111"/>
      <c r="AF160" s="16112"/>
      <c r="AG160" s="16110" t="str">
        <f>INDEX(PT_DIFFERENTIATION_CS,MATCH(C160,PT_DIFFERENTIATION_CS_ID,0))</f>
        <v>городской округ город-герой Мурманск (р-н Росляково)</v>
      </c>
      <c r="AH160" s="16111"/>
      <c r="AI160" s="16111"/>
      <c r="AJ160" s="16111"/>
      <c r="AK160" s="16111"/>
      <c r="AL160" s="16111"/>
      <c r="AM160" s="16111"/>
      <c r="AN160" s="16111"/>
      <c r="AO160" s="16111"/>
      <c r="AP160" s="16111"/>
      <c r="AQ160" s="16111"/>
      <c r="AR160" s="16110"/>
      <c r="AS160" s="16111"/>
      <c r="AT160" s="16111"/>
      <c r="AU160" s="16111"/>
      <c r="AV160" s="16111"/>
      <c r="AW160" s="16111"/>
      <c r="AX160" s="16111"/>
      <c r="AY160" s="16111"/>
      <c r="AZ160" s="16111"/>
      <c r="BA160" s="16111"/>
      <c r="BB160" s="16112"/>
      <c r="BC160" s="16110"/>
      <c r="BD160" s="16111"/>
      <c r="BE160" s="16111"/>
      <c r="BF160" s="16111"/>
      <c r="BG160" s="16111"/>
      <c r="BH160" s="16111"/>
      <c r="BI160" s="16111"/>
      <c r="BJ160" s="16111"/>
      <c r="BK160" s="16111"/>
      <c r="BL160" s="16111"/>
      <c r="BM160" s="16112"/>
      <c r="BN160" s="16110"/>
      <c r="BO160" s="16111"/>
      <c r="BP160" s="16111"/>
      <c r="BQ160" s="16111"/>
      <c r="BR160" s="16111"/>
      <c r="BS160" s="16111"/>
      <c r="BT160" s="16111"/>
      <c r="BU160" s="16111"/>
      <c r="BV160" s="16111"/>
      <c r="BW160" s="16111"/>
      <c r="BX160" s="16112"/>
      <c r="BY160" s="16110"/>
      <c r="BZ160" s="16111"/>
      <c r="CA160" s="16111"/>
      <c r="CB160" s="16111"/>
      <c r="CC160" s="16111"/>
      <c r="CD160" s="16111"/>
      <c r="CE160" s="16111"/>
      <c r="CF160" s="16111"/>
      <c r="CG160" s="16111"/>
      <c r="CH160" s="16111"/>
      <c r="CI160" s="16112"/>
      <c r="CJ160" s="16110"/>
      <c r="CK160" s="16111"/>
      <c r="CL160" s="16111"/>
      <c r="CM160" s="16111"/>
      <c r="CN160" s="16111"/>
      <c r="CO160" s="16111"/>
      <c r="CP160" s="16111"/>
      <c r="CQ160" s="16111"/>
      <c r="CR160" s="16111"/>
      <c r="CS160" s="16111"/>
      <c r="CT160" s="16112"/>
      <c r="CU160" s="16110"/>
      <c r="CV160" s="16111"/>
      <c r="CW160" s="16111"/>
      <c r="CX160" s="16111"/>
      <c r="CY160" s="16111"/>
      <c r="CZ160" s="16111"/>
      <c r="DA160" s="16111"/>
      <c r="DB160" s="16111"/>
      <c r="DC160" s="16111"/>
      <c r="DD160" s="16111"/>
      <c r="DE160" s="16112"/>
      <c r="DF160" s="16110"/>
      <c r="DG160" s="16111"/>
      <c r="DH160" s="16111"/>
      <c r="DI160" s="16111"/>
      <c r="DJ160" s="16111"/>
      <c r="DK160" s="16111"/>
      <c r="DL160" s="16111"/>
      <c r="DM160" s="16111"/>
      <c r="DN160" s="16111"/>
      <c r="DO160" s="16111"/>
      <c r="DP160" s="16112"/>
      <c r="DQ160" s="16110"/>
      <c r="DR160" s="16111"/>
      <c r="DS160" s="16111"/>
      <c r="DT160" s="16111"/>
      <c r="DU160" s="16111"/>
      <c r="DV160" s="16111"/>
      <c r="DW160" s="16111"/>
      <c r="DX160" s="16111"/>
      <c r="DY160" s="16111"/>
      <c r="DZ160" s="16111"/>
      <c r="EA160" s="16112"/>
      <c r="EB160" s="16110"/>
      <c r="EC160" s="16111"/>
      <c r="ED160" s="16111"/>
      <c r="EE160" s="16111"/>
      <c r="EF160" s="16111"/>
      <c r="EG160" s="16111"/>
      <c r="EH160" s="16111"/>
      <c r="EI160" s="16111"/>
      <c r="EJ160" s="16111"/>
      <c r="EK160" s="16111"/>
      <c r="EL160" s="16112"/>
      <c r="EM160" s="16110"/>
      <c r="EN160" s="16111"/>
      <c r="EO160" s="16111"/>
      <c r="EP160" s="16111"/>
      <c r="EQ160" s="16111"/>
      <c r="ER160" s="16111"/>
      <c r="ES160" s="16111"/>
      <c r="ET160" s="16111"/>
      <c r="EU160" s="16111"/>
      <c r="EV160" s="16111"/>
      <c r="EW160" s="16112"/>
      <c r="EX160" s="16112"/>
      <c r="EY160" s="2511" t="s">
        <v>666</v>
      </c>
      <c r="EZ160" s="2199"/>
      <c r="FA160" s="2512"/>
      <c r="FB160" s="2512" t="str">
        <f t="shared" si="2"/>
        <v>Наименование централизованной системы горячего водоснабжения</v>
      </c>
      <c r="FC160" s="2512"/>
      <c r="FD160" s="2512"/>
    </row>
    <row r="161" spans="1:160" s="14998" customFormat="1" ht="23.25" customHeight="1">
      <c r="A161" s="2502"/>
      <c r="B161" s="2502"/>
      <c r="C161" s="2502"/>
      <c r="D161" s="2502"/>
      <c r="E161" s="16125">
        <v>1</v>
      </c>
      <c r="F161" s="16125"/>
      <c r="G161" s="16125"/>
      <c r="H161" s="16125"/>
      <c r="I161" s="16122" t="str">
        <f>S160&amp;".1"</f>
        <v>2.1.1.1</v>
      </c>
      <c r="J161" s="2502"/>
      <c r="K161" s="2502"/>
      <c r="L161" s="2503"/>
      <c r="M161" s="2513"/>
      <c r="N161" s="2513"/>
      <c r="O161" s="2513"/>
      <c r="P161" s="16123">
        <v>1</v>
      </c>
      <c r="Q161" s="2514"/>
      <c r="R161" s="2515"/>
      <c r="S161" s="2508" t="str">
        <f>$I161</f>
        <v>2.1.1.1</v>
      </c>
      <c r="T161" s="2516" t="s">
        <v>618</v>
      </c>
      <c r="U161" s="2510"/>
      <c r="V161" s="16183"/>
      <c r="W161" s="16184"/>
      <c r="X161" s="16184"/>
      <c r="Y161" s="16184"/>
      <c r="Z161" s="16184"/>
      <c r="AA161" s="16184"/>
      <c r="AB161" s="16184"/>
      <c r="AC161" s="16184"/>
      <c r="AD161" s="16184"/>
      <c r="AE161" s="16184"/>
      <c r="AF161" s="16185"/>
      <c r="AG161" s="16186"/>
      <c r="AH161" s="16187"/>
      <c r="AI161" s="16187"/>
      <c r="AJ161" s="16187"/>
      <c r="AK161" s="16187"/>
      <c r="AL161" s="16187"/>
      <c r="AM161" s="16187"/>
      <c r="AN161" s="16187"/>
      <c r="AO161" s="16187"/>
      <c r="AP161" s="16187"/>
      <c r="AQ161" s="16187"/>
      <c r="AR161" s="16183"/>
      <c r="AS161" s="16184"/>
      <c r="AT161" s="16184"/>
      <c r="AU161" s="16184"/>
      <c r="AV161" s="16184"/>
      <c r="AW161" s="16184"/>
      <c r="AX161" s="16184"/>
      <c r="AY161" s="16184"/>
      <c r="AZ161" s="16184"/>
      <c r="BA161" s="16184"/>
      <c r="BB161" s="16185"/>
      <c r="BC161" s="16183"/>
      <c r="BD161" s="16184"/>
      <c r="BE161" s="16184"/>
      <c r="BF161" s="16184"/>
      <c r="BG161" s="16184"/>
      <c r="BH161" s="16184"/>
      <c r="BI161" s="16184"/>
      <c r="BJ161" s="16184"/>
      <c r="BK161" s="16184"/>
      <c r="BL161" s="16184"/>
      <c r="BM161" s="16185"/>
      <c r="BN161" s="16183"/>
      <c r="BO161" s="16184"/>
      <c r="BP161" s="16184"/>
      <c r="BQ161" s="16184"/>
      <c r="BR161" s="16184"/>
      <c r="BS161" s="16184"/>
      <c r="BT161" s="16184"/>
      <c r="BU161" s="16184"/>
      <c r="BV161" s="16184"/>
      <c r="BW161" s="16184"/>
      <c r="BX161" s="16185"/>
      <c r="BY161" s="16183"/>
      <c r="BZ161" s="16184"/>
      <c r="CA161" s="16184"/>
      <c r="CB161" s="16184"/>
      <c r="CC161" s="16184"/>
      <c r="CD161" s="16184"/>
      <c r="CE161" s="16184"/>
      <c r="CF161" s="16184"/>
      <c r="CG161" s="16184"/>
      <c r="CH161" s="16184"/>
      <c r="CI161" s="16185"/>
      <c r="CJ161" s="16183"/>
      <c r="CK161" s="16184"/>
      <c r="CL161" s="16184"/>
      <c r="CM161" s="16184"/>
      <c r="CN161" s="16184"/>
      <c r="CO161" s="16184"/>
      <c r="CP161" s="16184"/>
      <c r="CQ161" s="16184"/>
      <c r="CR161" s="16184"/>
      <c r="CS161" s="16184"/>
      <c r="CT161" s="16185"/>
      <c r="CU161" s="16183"/>
      <c r="CV161" s="16184"/>
      <c r="CW161" s="16184"/>
      <c r="CX161" s="16184"/>
      <c r="CY161" s="16184"/>
      <c r="CZ161" s="16184"/>
      <c r="DA161" s="16184"/>
      <c r="DB161" s="16184"/>
      <c r="DC161" s="16184"/>
      <c r="DD161" s="16184"/>
      <c r="DE161" s="16185"/>
      <c r="DF161" s="16183"/>
      <c r="DG161" s="16184"/>
      <c r="DH161" s="16184"/>
      <c r="DI161" s="16184"/>
      <c r="DJ161" s="16184"/>
      <c r="DK161" s="16184"/>
      <c r="DL161" s="16184"/>
      <c r="DM161" s="16184"/>
      <c r="DN161" s="16184"/>
      <c r="DO161" s="16184"/>
      <c r="DP161" s="16185"/>
      <c r="DQ161" s="16183"/>
      <c r="DR161" s="16184"/>
      <c r="DS161" s="16184"/>
      <c r="DT161" s="16184"/>
      <c r="DU161" s="16184"/>
      <c r="DV161" s="16184"/>
      <c r="DW161" s="16184"/>
      <c r="DX161" s="16184"/>
      <c r="DY161" s="16184"/>
      <c r="DZ161" s="16184"/>
      <c r="EA161" s="16185"/>
      <c r="EB161" s="16183"/>
      <c r="EC161" s="16184"/>
      <c r="ED161" s="16184"/>
      <c r="EE161" s="16184"/>
      <c r="EF161" s="16184"/>
      <c r="EG161" s="16184"/>
      <c r="EH161" s="16184"/>
      <c r="EI161" s="16184"/>
      <c r="EJ161" s="16184"/>
      <c r="EK161" s="16184"/>
      <c r="EL161" s="16185"/>
      <c r="EM161" s="16183"/>
      <c r="EN161" s="16184"/>
      <c r="EO161" s="16184"/>
      <c r="EP161" s="16184"/>
      <c r="EQ161" s="16184"/>
      <c r="ER161" s="16184"/>
      <c r="ES161" s="16184"/>
      <c r="ET161" s="16184"/>
      <c r="EU161" s="16184"/>
      <c r="EV161" s="16184"/>
      <c r="EW161" s="16185"/>
      <c r="EX161" s="16188"/>
      <c r="EY161" s="2511" t="s">
        <v>619</v>
      </c>
      <c r="EZ161" s="2199"/>
      <c r="FA161" s="2512"/>
      <c r="FB161" s="2512" t="str">
        <f t="shared" si="2"/>
        <v>Наименование признака дифференциации</v>
      </c>
      <c r="FC161" s="2512"/>
      <c r="FD161" s="2512"/>
    </row>
    <row r="162" spans="1:160" s="14999" customFormat="1" ht="23.25" customHeight="1">
      <c r="A162" s="2502"/>
      <c r="B162" s="2502"/>
      <c r="C162" s="2502"/>
      <c r="D162" s="2502"/>
      <c r="E162" s="16125">
        <v>1</v>
      </c>
      <c r="F162" s="16125"/>
      <c r="G162" s="16125"/>
      <c r="H162" s="16125"/>
      <c r="I162" s="16145"/>
      <c r="J162" s="16122" t="str">
        <f>I161&amp;".1"</f>
        <v>2.1.1.1.1</v>
      </c>
      <c r="K162" s="2502"/>
      <c r="L162" s="2503" t="s">
        <v>543</v>
      </c>
      <c r="M162" s="2513"/>
      <c r="N162" s="2513"/>
      <c r="O162" s="2513"/>
      <c r="P162" s="16123"/>
      <c r="Q162" s="16123">
        <v>1</v>
      </c>
      <c r="R162" s="2517"/>
      <c r="S162" s="2508" t="str">
        <f>$J162</f>
        <v>2.1.1.1.1</v>
      </c>
      <c r="T162" s="2518" t="s">
        <v>544</v>
      </c>
      <c r="U162" s="2510"/>
      <c r="V162" s="16113"/>
      <c r="W162" s="16114"/>
      <c r="X162" s="16114"/>
      <c r="Y162" s="16114"/>
      <c r="Z162" s="16114"/>
      <c r="AA162" s="16114"/>
      <c r="AB162" s="16114"/>
      <c r="AC162" s="16114"/>
      <c r="AD162" s="16114"/>
      <c r="AE162" s="16114"/>
      <c r="AF162" s="16115"/>
      <c r="AG162" s="16113" t="s">
        <v>679</v>
      </c>
      <c r="AH162" s="16114"/>
      <c r="AI162" s="16114"/>
      <c r="AJ162" s="16114"/>
      <c r="AK162" s="16114"/>
      <c r="AL162" s="16114"/>
      <c r="AM162" s="16114"/>
      <c r="AN162" s="16114"/>
      <c r="AO162" s="16114"/>
      <c r="AP162" s="16114"/>
      <c r="AQ162" s="16114"/>
      <c r="AR162" s="16113"/>
      <c r="AS162" s="16114"/>
      <c r="AT162" s="16114"/>
      <c r="AU162" s="16114"/>
      <c r="AV162" s="16114"/>
      <c r="AW162" s="16114"/>
      <c r="AX162" s="16114"/>
      <c r="AY162" s="16114"/>
      <c r="AZ162" s="16114"/>
      <c r="BA162" s="16114"/>
      <c r="BB162" s="16115"/>
      <c r="BC162" s="16113"/>
      <c r="BD162" s="16114"/>
      <c r="BE162" s="16114"/>
      <c r="BF162" s="16114"/>
      <c r="BG162" s="16114"/>
      <c r="BH162" s="16114"/>
      <c r="BI162" s="16114"/>
      <c r="BJ162" s="16114"/>
      <c r="BK162" s="16114"/>
      <c r="BL162" s="16114"/>
      <c r="BM162" s="16115"/>
      <c r="BN162" s="16113"/>
      <c r="BO162" s="16114"/>
      <c r="BP162" s="16114"/>
      <c r="BQ162" s="16114"/>
      <c r="BR162" s="16114"/>
      <c r="BS162" s="16114"/>
      <c r="BT162" s="16114"/>
      <c r="BU162" s="16114"/>
      <c r="BV162" s="16114"/>
      <c r="BW162" s="16114"/>
      <c r="BX162" s="16115"/>
      <c r="BY162" s="16113"/>
      <c r="BZ162" s="16114"/>
      <c r="CA162" s="16114"/>
      <c r="CB162" s="16114"/>
      <c r="CC162" s="16114"/>
      <c r="CD162" s="16114"/>
      <c r="CE162" s="16114"/>
      <c r="CF162" s="16114"/>
      <c r="CG162" s="16114"/>
      <c r="CH162" s="16114"/>
      <c r="CI162" s="16115"/>
      <c r="CJ162" s="16113"/>
      <c r="CK162" s="16114"/>
      <c r="CL162" s="16114"/>
      <c r="CM162" s="16114"/>
      <c r="CN162" s="16114"/>
      <c r="CO162" s="16114"/>
      <c r="CP162" s="16114"/>
      <c r="CQ162" s="16114"/>
      <c r="CR162" s="16114"/>
      <c r="CS162" s="16114"/>
      <c r="CT162" s="16115"/>
      <c r="CU162" s="16113"/>
      <c r="CV162" s="16114"/>
      <c r="CW162" s="16114"/>
      <c r="CX162" s="16114"/>
      <c r="CY162" s="16114"/>
      <c r="CZ162" s="16114"/>
      <c r="DA162" s="16114"/>
      <c r="DB162" s="16114"/>
      <c r="DC162" s="16114"/>
      <c r="DD162" s="16114"/>
      <c r="DE162" s="16115"/>
      <c r="DF162" s="16113"/>
      <c r="DG162" s="16114"/>
      <c r="DH162" s="16114"/>
      <c r="DI162" s="16114"/>
      <c r="DJ162" s="16114"/>
      <c r="DK162" s="16114"/>
      <c r="DL162" s="16114"/>
      <c r="DM162" s="16114"/>
      <c r="DN162" s="16114"/>
      <c r="DO162" s="16114"/>
      <c r="DP162" s="16115"/>
      <c r="DQ162" s="16113"/>
      <c r="DR162" s="16114"/>
      <c r="DS162" s="16114"/>
      <c r="DT162" s="16114"/>
      <c r="DU162" s="16114"/>
      <c r="DV162" s="16114"/>
      <c r="DW162" s="16114"/>
      <c r="DX162" s="16114"/>
      <c r="DY162" s="16114"/>
      <c r="DZ162" s="16114"/>
      <c r="EA162" s="16115"/>
      <c r="EB162" s="16113"/>
      <c r="EC162" s="16114"/>
      <c r="ED162" s="16114"/>
      <c r="EE162" s="16114"/>
      <c r="EF162" s="16114"/>
      <c r="EG162" s="16114"/>
      <c r="EH162" s="16114"/>
      <c r="EI162" s="16114"/>
      <c r="EJ162" s="16114"/>
      <c r="EK162" s="16114"/>
      <c r="EL162" s="16115"/>
      <c r="EM162" s="16113"/>
      <c r="EN162" s="16114"/>
      <c r="EO162" s="16114"/>
      <c r="EP162" s="16114"/>
      <c r="EQ162" s="16114"/>
      <c r="ER162" s="16114"/>
      <c r="ES162" s="16114"/>
      <c r="ET162" s="16114"/>
      <c r="EU162" s="16114"/>
      <c r="EV162" s="16114"/>
      <c r="EW162" s="16115"/>
      <c r="EX162" s="16115"/>
      <c r="EY162" s="2519" t="s">
        <v>620</v>
      </c>
      <c r="EZ162" s="2199"/>
      <c r="FA162" s="2512"/>
      <c r="FB162" s="2512" t="str">
        <f t="shared" si="2"/>
        <v>Группа потребителей</v>
      </c>
      <c r="FC162" s="2512"/>
      <c r="FD162" s="2512"/>
    </row>
    <row r="163" spans="1:160" s="15000" customFormat="1" ht="23.25" customHeight="1">
      <c r="A163" s="2502"/>
      <c r="B163" s="2502"/>
      <c r="C163" s="2502"/>
      <c r="D163" s="2502"/>
      <c r="E163" s="16125">
        <v>1</v>
      </c>
      <c r="F163" s="16125"/>
      <c r="G163" s="16125"/>
      <c r="H163" s="16125"/>
      <c r="I163" s="16145"/>
      <c r="J163" s="16145"/>
      <c r="K163" s="16122" t="str">
        <f>J162&amp;".1"</f>
        <v>2.1.1.1.1.1</v>
      </c>
      <c r="L163" s="2503"/>
      <c r="M163" s="2513"/>
      <c r="N163" s="2513"/>
      <c r="O163" s="2513"/>
      <c r="P163" s="16123"/>
      <c r="Q163" s="16123"/>
      <c r="R163" s="2517">
        <v>1</v>
      </c>
      <c r="S163" s="2508" t="str">
        <f>$K163</f>
        <v>2.1.1.1.1.1</v>
      </c>
      <c r="T163" s="2520"/>
      <c r="U163" s="2510"/>
      <c r="V163" s="1893"/>
      <c r="W163" s="1893"/>
      <c r="X163" s="1893"/>
      <c r="Y163" s="1893"/>
      <c r="Z163" s="1893"/>
      <c r="AA163" s="1893"/>
      <c r="AB163" s="1893"/>
      <c r="AC163" s="16127"/>
      <c r="AD163" s="15973" t="s">
        <v>66</v>
      </c>
      <c r="AE163" s="16127"/>
      <c r="AF163" s="15973" t="s">
        <v>66</v>
      </c>
      <c r="AG163" s="1893">
        <v>26.75</v>
      </c>
      <c r="AH163" s="1893"/>
      <c r="AI163" s="1893"/>
      <c r="AJ163" s="1893"/>
      <c r="AK163" s="1893">
        <v>4492.58</v>
      </c>
      <c r="AL163" s="1893"/>
      <c r="AM163" s="1893"/>
      <c r="AN163" s="16127">
        <v>45292</v>
      </c>
      <c r="AO163" s="15973" t="s">
        <v>66</v>
      </c>
      <c r="AP163" s="16146">
        <v>45378</v>
      </c>
      <c r="AQ163" s="15973" t="s">
        <v>66</v>
      </c>
      <c r="AR163" s="1893">
        <v>26.75</v>
      </c>
      <c r="AS163" s="1893"/>
      <c r="AT163" s="1893"/>
      <c r="AU163" s="1893"/>
      <c r="AV163" s="1893">
        <v>4492.58</v>
      </c>
      <c r="AW163" s="1893"/>
      <c r="AX163" s="1893"/>
      <c r="AY163" s="16127">
        <v>45379</v>
      </c>
      <c r="AZ163" s="15973" t="s">
        <v>66</v>
      </c>
      <c r="BA163" s="16127">
        <v>45473</v>
      </c>
      <c r="BB163" s="15973" t="s">
        <v>66</v>
      </c>
      <c r="BC163" s="1893">
        <v>33</v>
      </c>
      <c r="BD163" s="1893"/>
      <c r="BE163" s="1893"/>
      <c r="BF163" s="1893"/>
      <c r="BG163" s="1893">
        <v>6585.67</v>
      </c>
      <c r="BH163" s="1893"/>
      <c r="BI163" s="1893"/>
      <c r="BJ163" s="16127">
        <v>45474</v>
      </c>
      <c r="BK163" s="15973" t="s">
        <v>66</v>
      </c>
      <c r="BL163" s="16127">
        <v>45657</v>
      </c>
      <c r="BM163" s="15973" t="s">
        <v>66</v>
      </c>
      <c r="BN163" s="1893">
        <v>28.77</v>
      </c>
      <c r="BO163" s="1893"/>
      <c r="BP163" s="1893"/>
      <c r="BQ163" s="1893"/>
      <c r="BR163" s="1893">
        <v>5407.73</v>
      </c>
      <c r="BS163" s="1893"/>
      <c r="BT163" s="1893"/>
      <c r="BU163" s="16127">
        <v>45658</v>
      </c>
      <c r="BV163" s="15973" t="s">
        <v>66</v>
      </c>
      <c r="BW163" s="16127">
        <v>45838</v>
      </c>
      <c r="BX163" s="15973" t="s">
        <v>66</v>
      </c>
      <c r="BY163" s="1893">
        <v>28.77</v>
      </c>
      <c r="BZ163" s="1893"/>
      <c r="CA163" s="1893"/>
      <c r="CB163" s="1893"/>
      <c r="CC163" s="1893">
        <v>5407.73</v>
      </c>
      <c r="CD163" s="1893"/>
      <c r="CE163" s="1893"/>
      <c r="CF163" s="16127">
        <v>45839</v>
      </c>
      <c r="CG163" s="15973" t="s">
        <v>66</v>
      </c>
      <c r="CH163" s="16127">
        <v>46022</v>
      </c>
      <c r="CI163" s="15973" t="s">
        <v>66</v>
      </c>
      <c r="CJ163" s="1893">
        <v>28.77</v>
      </c>
      <c r="CK163" s="1893"/>
      <c r="CL163" s="1893"/>
      <c r="CM163" s="1893"/>
      <c r="CN163" s="1893">
        <v>5407.73</v>
      </c>
      <c r="CO163" s="1893"/>
      <c r="CP163" s="1893"/>
      <c r="CQ163" s="16127">
        <v>46023</v>
      </c>
      <c r="CR163" s="15973" t="s">
        <v>66</v>
      </c>
      <c r="CS163" s="16127">
        <v>46203</v>
      </c>
      <c r="CT163" s="15973" t="s">
        <v>66</v>
      </c>
      <c r="CU163" s="1893">
        <v>30.54</v>
      </c>
      <c r="CV163" s="1893"/>
      <c r="CW163" s="1893"/>
      <c r="CX163" s="1893"/>
      <c r="CY163" s="1893">
        <v>5677.53</v>
      </c>
      <c r="CZ163" s="1893"/>
      <c r="DA163" s="1893"/>
      <c r="DB163" s="16127">
        <v>46204</v>
      </c>
      <c r="DC163" s="15973" t="s">
        <v>66</v>
      </c>
      <c r="DD163" s="16127">
        <v>46387</v>
      </c>
      <c r="DE163" s="15973" t="s">
        <v>66</v>
      </c>
      <c r="DF163" s="1893">
        <v>30.54</v>
      </c>
      <c r="DG163" s="1893"/>
      <c r="DH163" s="1893"/>
      <c r="DI163" s="1893"/>
      <c r="DJ163" s="1893">
        <v>5674.41</v>
      </c>
      <c r="DK163" s="1893"/>
      <c r="DL163" s="1893"/>
      <c r="DM163" s="16127">
        <v>46388</v>
      </c>
      <c r="DN163" s="15973" t="s">
        <v>66</v>
      </c>
      <c r="DO163" s="16127">
        <v>46568</v>
      </c>
      <c r="DP163" s="15973" t="s">
        <v>66</v>
      </c>
      <c r="DQ163" s="1893">
        <v>30.6</v>
      </c>
      <c r="DR163" s="1893"/>
      <c r="DS163" s="1893"/>
      <c r="DT163" s="1893"/>
      <c r="DU163" s="1893">
        <v>5674.41</v>
      </c>
      <c r="DV163" s="1893"/>
      <c r="DW163" s="1893"/>
      <c r="DX163" s="16127">
        <v>46569</v>
      </c>
      <c r="DY163" s="15973" t="s">
        <v>66</v>
      </c>
      <c r="DZ163" s="16127">
        <v>46752</v>
      </c>
      <c r="EA163" s="15973" t="s">
        <v>66</v>
      </c>
      <c r="EB163" s="1893">
        <v>30.6</v>
      </c>
      <c r="EC163" s="1893"/>
      <c r="ED163" s="1893"/>
      <c r="EE163" s="1893"/>
      <c r="EF163" s="1893">
        <v>5674.41</v>
      </c>
      <c r="EG163" s="1893"/>
      <c r="EH163" s="1893"/>
      <c r="EI163" s="16127">
        <v>46753</v>
      </c>
      <c r="EJ163" s="15973" t="s">
        <v>66</v>
      </c>
      <c r="EK163" s="16127">
        <v>46934</v>
      </c>
      <c r="EL163" s="15973" t="s">
        <v>66</v>
      </c>
      <c r="EM163" s="14448">
        <v>31.82</v>
      </c>
      <c r="EN163" s="14448"/>
      <c r="EO163" s="14448"/>
      <c r="EP163" s="14448"/>
      <c r="EQ163" s="14448">
        <v>5984.91</v>
      </c>
      <c r="ER163" s="14448"/>
      <c r="ES163" s="14448"/>
      <c r="ET163" s="16127">
        <v>46935</v>
      </c>
      <c r="EU163" s="15973" t="s">
        <v>66</v>
      </c>
      <c r="EV163" s="16127">
        <v>47118</v>
      </c>
      <c r="EW163" s="15973" t="s">
        <v>66</v>
      </c>
      <c r="EX163" s="2521"/>
      <c r="EY163"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63" s="2199" t="e">
        <f ca="1">STRCHECKDATE(V164:EX164)</f>
        <v>#NAME?</v>
      </c>
      <c r="FA163" s="2512"/>
      <c r="FB163" s="2512" t="str">
        <f t="shared" si="2"/>
        <v/>
      </c>
      <c r="FC163" s="2512"/>
      <c r="FD163" s="2512"/>
    </row>
    <row r="164" spans="1:160" s="15001" customFormat="1" ht="14.25" customHeight="1">
      <c r="A164" s="2502"/>
      <c r="B164" s="2502"/>
      <c r="C164" s="2502"/>
      <c r="D164" s="2502"/>
      <c r="E164" s="16125">
        <v>1</v>
      </c>
      <c r="F164" s="16125"/>
      <c r="G164" s="16125"/>
      <c r="H164" s="16125"/>
      <c r="I164" s="16145"/>
      <c r="J164" s="16145"/>
      <c r="K164" s="16122"/>
      <c r="L164" s="2503"/>
      <c r="M164" s="2513"/>
      <c r="N164" s="2513"/>
      <c r="O164" s="2513"/>
      <c r="P164" s="16123"/>
      <c r="Q164" s="16123"/>
      <c r="R164" s="2517"/>
      <c r="S164" s="2522"/>
      <c r="T164" s="2510"/>
      <c r="U164" s="2510"/>
      <c r="V164" s="1894"/>
      <c r="W164" s="1894"/>
      <c r="X164" s="1894"/>
      <c r="Y164" s="1894"/>
      <c r="Z164" s="1894"/>
      <c r="AA164" s="1894"/>
      <c r="AB164" s="1894"/>
      <c r="AC164" s="16128"/>
      <c r="AD164" s="15973"/>
      <c r="AE164" s="16128"/>
      <c r="AF164" s="15973"/>
      <c r="AG164" s="1894"/>
      <c r="AH164" s="1894"/>
      <c r="AI164" s="1894"/>
      <c r="AJ164" s="1894"/>
      <c r="AK164" s="1894"/>
      <c r="AL164" s="1894"/>
      <c r="AM164" s="1894"/>
      <c r="AN164" s="16128"/>
      <c r="AO164" s="15973"/>
      <c r="AP164" s="16147"/>
      <c r="AQ164" s="15973"/>
      <c r="AR164" s="1894"/>
      <c r="AS164" s="1894"/>
      <c r="AT164" s="1894"/>
      <c r="AU164" s="1894"/>
      <c r="AV164" s="1894"/>
      <c r="AW164" s="1894"/>
      <c r="AX164" s="1894"/>
      <c r="AY164" s="16128"/>
      <c r="AZ164" s="15973"/>
      <c r="BA164" s="16128"/>
      <c r="BB164" s="15973"/>
      <c r="BC164" s="1894"/>
      <c r="BD164" s="1894"/>
      <c r="BE164" s="1894"/>
      <c r="BF164" s="1894"/>
      <c r="BG164" s="1894"/>
      <c r="BH164" s="1894"/>
      <c r="BI164" s="1894"/>
      <c r="BJ164" s="16128"/>
      <c r="BK164" s="15973"/>
      <c r="BL164" s="16128"/>
      <c r="BM164" s="15973"/>
      <c r="BN164" s="1894"/>
      <c r="BO164" s="1894"/>
      <c r="BP164" s="1894"/>
      <c r="BQ164" s="1894"/>
      <c r="BR164" s="1894"/>
      <c r="BS164" s="1894"/>
      <c r="BT164" s="1894"/>
      <c r="BU164" s="16128"/>
      <c r="BV164" s="15973"/>
      <c r="BW164" s="16128"/>
      <c r="BX164" s="15973"/>
      <c r="BY164" s="1894"/>
      <c r="BZ164" s="1894"/>
      <c r="CA164" s="1894"/>
      <c r="CB164" s="1894"/>
      <c r="CC164" s="1894"/>
      <c r="CD164" s="1894"/>
      <c r="CE164" s="1894"/>
      <c r="CF164" s="16128"/>
      <c r="CG164" s="15973"/>
      <c r="CH164" s="16128"/>
      <c r="CI164" s="15973"/>
      <c r="CJ164" s="1894"/>
      <c r="CK164" s="1894"/>
      <c r="CL164" s="1894"/>
      <c r="CM164" s="1894"/>
      <c r="CN164" s="1894"/>
      <c r="CO164" s="1894"/>
      <c r="CP164" s="1894"/>
      <c r="CQ164" s="16128"/>
      <c r="CR164" s="15973"/>
      <c r="CS164" s="16128"/>
      <c r="CT164" s="15973"/>
      <c r="CU164" s="1894"/>
      <c r="CV164" s="1894"/>
      <c r="CW164" s="1894"/>
      <c r="CX164" s="1894"/>
      <c r="CY164" s="1894"/>
      <c r="CZ164" s="1894"/>
      <c r="DA164" s="1894"/>
      <c r="DB164" s="16128"/>
      <c r="DC164" s="15973"/>
      <c r="DD164" s="16128"/>
      <c r="DE164" s="15973"/>
      <c r="DF164" s="1894"/>
      <c r="DG164" s="1894"/>
      <c r="DH164" s="1894"/>
      <c r="DI164" s="1894"/>
      <c r="DJ164" s="1894"/>
      <c r="DK164" s="1894"/>
      <c r="DL164" s="1894"/>
      <c r="DM164" s="16128"/>
      <c r="DN164" s="15973"/>
      <c r="DO164" s="16128"/>
      <c r="DP164" s="15973"/>
      <c r="DQ164" s="1894"/>
      <c r="DR164" s="1894"/>
      <c r="DS164" s="1894"/>
      <c r="DT164" s="1894"/>
      <c r="DU164" s="1894"/>
      <c r="DV164" s="1894"/>
      <c r="DW164" s="1894"/>
      <c r="DX164" s="16128"/>
      <c r="DY164" s="15973"/>
      <c r="DZ164" s="16128"/>
      <c r="EA164" s="15973"/>
      <c r="EB164" s="1894"/>
      <c r="EC164" s="1894"/>
      <c r="ED164" s="1894"/>
      <c r="EE164" s="1894"/>
      <c r="EF164" s="1894"/>
      <c r="EG164" s="1894"/>
      <c r="EH164" s="1894"/>
      <c r="EI164" s="16128"/>
      <c r="EJ164" s="15973"/>
      <c r="EK164" s="16128"/>
      <c r="EL164" s="15973"/>
      <c r="EM164" s="14449"/>
      <c r="EN164" s="14449"/>
      <c r="EO164" s="14449"/>
      <c r="EP164" s="14449"/>
      <c r="EQ164" s="14449"/>
      <c r="ER164" s="14449"/>
      <c r="ES164" s="14449"/>
      <c r="ET164" s="16128"/>
      <c r="EU164" s="15973"/>
      <c r="EV164" s="16128"/>
      <c r="EW164" s="15973"/>
      <c r="EX164" s="2523"/>
      <c r="EY164" s="16182"/>
      <c r="EZ164" s="2199"/>
      <c r="FA164" s="2512"/>
      <c r="FB164" s="2512" t="str">
        <f t="shared" si="2"/>
        <v/>
      </c>
      <c r="FC164" s="2512"/>
      <c r="FD164" s="2512"/>
    </row>
    <row r="165" spans="1:160" s="15002" customFormat="1" ht="21" customHeight="1">
      <c r="A165" s="2502"/>
      <c r="B165" s="2502"/>
      <c r="C165" s="2502"/>
      <c r="D165" s="2502"/>
      <c r="E165" s="16125">
        <v>1</v>
      </c>
      <c r="F165" s="16125"/>
      <c r="G165" s="16125"/>
      <c r="H165" s="16125"/>
      <c r="I165" s="16145"/>
      <c r="J165" s="16122"/>
      <c r="K165" s="2502"/>
      <c r="L165" s="2503"/>
      <c r="M165" s="2513"/>
      <c r="N165" s="2513"/>
      <c r="O165" s="2513"/>
      <c r="P165" s="16123"/>
      <c r="Q165" s="16123"/>
      <c r="R165" s="2515"/>
      <c r="S165" s="6685"/>
      <c r="T165" s="6686" t="s">
        <v>621</v>
      </c>
      <c r="U165" s="6687"/>
      <c r="V165" s="6688"/>
      <c r="W165" s="6689"/>
      <c r="X165" s="6690"/>
      <c r="Y165" s="6691"/>
      <c r="Z165" s="6692"/>
      <c r="AA165" s="6693"/>
      <c r="AB165" s="6694"/>
      <c r="AC165" s="6695"/>
      <c r="AD165" s="6696"/>
      <c r="AE165" s="6697"/>
      <c r="AF165" s="6698"/>
      <c r="AG165" s="6699"/>
      <c r="AH165" s="6700"/>
      <c r="AI165" s="6701"/>
      <c r="AJ165" s="6702"/>
      <c r="AK165" s="6703"/>
      <c r="AL165" s="6704"/>
      <c r="AM165" s="6705"/>
      <c r="AN165" s="6706"/>
      <c r="AO165" s="6707"/>
      <c r="AP165" s="6708"/>
      <c r="AQ165" s="6709"/>
      <c r="AR165" s="6710"/>
      <c r="AS165" s="6711"/>
      <c r="AT165" s="6712"/>
      <c r="AU165" s="6713"/>
      <c r="AV165" s="6714"/>
      <c r="AW165" s="6715"/>
      <c r="AX165" s="6716"/>
      <c r="AY165" s="6717"/>
      <c r="AZ165" s="6718"/>
      <c r="BA165" s="6719"/>
      <c r="BB165" s="6720"/>
      <c r="BC165" s="6721"/>
      <c r="BD165" s="6722"/>
      <c r="BE165" s="6723"/>
      <c r="BF165" s="6724"/>
      <c r="BG165" s="6725"/>
      <c r="BH165" s="6726"/>
      <c r="BI165" s="6727"/>
      <c r="BJ165" s="6728"/>
      <c r="BK165" s="6729"/>
      <c r="BL165" s="6730"/>
      <c r="BM165" s="6731"/>
      <c r="BN165" s="6732"/>
      <c r="BO165" s="6733"/>
      <c r="BP165" s="6734"/>
      <c r="BQ165" s="6735"/>
      <c r="BR165" s="6736"/>
      <c r="BS165" s="6737"/>
      <c r="BT165" s="6738"/>
      <c r="BU165" s="6739"/>
      <c r="BV165" s="6740"/>
      <c r="BW165" s="6741"/>
      <c r="BX165" s="6742"/>
      <c r="BY165" s="6743"/>
      <c r="BZ165" s="6744"/>
      <c r="CA165" s="6745"/>
      <c r="CB165" s="6746"/>
      <c r="CC165" s="6747"/>
      <c r="CD165" s="6748"/>
      <c r="CE165" s="6749"/>
      <c r="CF165" s="6750"/>
      <c r="CG165" s="6751"/>
      <c r="CH165" s="6752"/>
      <c r="CI165" s="6753"/>
      <c r="CJ165" s="6754"/>
      <c r="CK165" s="6755"/>
      <c r="CL165" s="6756"/>
      <c r="CM165" s="6757"/>
      <c r="CN165" s="6758"/>
      <c r="CO165" s="6759"/>
      <c r="CP165" s="6760"/>
      <c r="CQ165" s="6761"/>
      <c r="CR165" s="6762"/>
      <c r="CS165" s="6763"/>
      <c r="CT165" s="6764"/>
      <c r="CU165" s="6765"/>
      <c r="CV165" s="6766"/>
      <c r="CW165" s="6767"/>
      <c r="CX165" s="6768"/>
      <c r="CY165" s="6769"/>
      <c r="CZ165" s="6770"/>
      <c r="DA165" s="6771"/>
      <c r="DB165" s="6772"/>
      <c r="DC165" s="6773"/>
      <c r="DD165" s="6774"/>
      <c r="DE165" s="6775"/>
      <c r="DF165" s="6776"/>
      <c r="DG165" s="6777"/>
      <c r="DH165" s="6778"/>
      <c r="DI165" s="6779"/>
      <c r="DJ165" s="6780"/>
      <c r="DK165" s="6781"/>
      <c r="DL165" s="6782"/>
      <c r="DM165" s="6783"/>
      <c r="DN165" s="6784"/>
      <c r="DO165" s="6785"/>
      <c r="DP165" s="6786"/>
      <c r="DQ165" s="6787"/>
      <c r="DR165" s="6788"/>
      <c r="DS165" s="6789"/>
      <c r="DT165" s="6790"/>
      <c r="DU165" s="6791"/>
      <c r="DV165" s="6792"/>
      <c r="DW165" s="6793"/>
      <c r="DX165" s="6794"/>
      <c r="DY165" s="6795"/>
      <c r="DZ165" s="6796"/>
      <c r="EA165" s="6797"/>
      <c r="EB165" s="6798"/>
      <c r="EC165" s="6799"/>
      <c r="ED165" s="6800"/>
      <c r="EE165" s="6801"/>
      <c r="EF165" s="6802"/>
      <c r="EG165" s="6803"/>
      <c r="EH165" s="6804"/>
      <c r="EI165" s="6805"/>
      <c r="EJ165" s="6806"/>
      <c r="EK165" s="6807"/>
      <c r="EL165" s="6808"/>
      <c r="EM165" s="15003"/>
      <c r="EN165" s="15004"/>
      <c r="EO165" s="15005"/>
      <c r="EP165" s="15006"/>
      <c r="EQ165" s="15007"/>
      <c r="ER165" s="15008"/>
      <c r="ES165" s="15009"/>
      <c r="ET165" s="15010"/>
      <c r="EU165" s="15011"/>
      <c r="EV165" s="15012"/>
      <c r="EW165" s="15013"/>
      <c r="EX165" s="6809"/>
      <c r="EY165" s="2511" t="s">
        <v>622</v>
      </c>
      <c r="EZ165" s="2199"/>
      <c r="FA165" s="2512"/>
      <c r="FB165" s="2512" t="str">
        <f t="shared" si="2"/>
        <v>Добавить значение признака дифференциации</v>
      </c>
      <c r="FC165" s="2512"/>
      <c r="FD165" s="2512"/>
    </row>
    <row r="166" spans="1:160" s="15014" customFormat="1" ht="21" customHeight="1">
      <c r="A166" s="2502"/>
      <c r="B166" s="2502"/>
      <c r="C166" s="2502"/>
      <c r="D166" s="2502"/>
      <c r="E166" s="16125">
        <v>1</v>
      </c>
      <c r="F166" s="16125"/>
      <c r="G166" s="16125"/>
      <c r="H166" s="16125"/>
      <c r="I166" s="16122"/>
      <c r="J166" s="2502"/>
      <c r="K166" s="2502"/>
      <c r="L166" s="2503"/>
      <c r="M166" s="2513"/>
      <c r="N166" s="2513"/>
      <c r="O166" s="2513"/>
      <c r="P166" s="16123"/>
      <c r="Q166" s="2514"/>
      <c r="R166" s="2515"/>
      <c r="S166" s="6810"/>
      <c r="T166" s="6811" t="s">
        <v>549</v>
      </c>
      <c r="U166" s="6812"/>
      <c r="V166" s="6813"/>
      <c r="W166" s="6814"/>
      <c r="X166" s="6815"/>
      <c r="Y166" s="6816"/>
      <c r="Z166" s="6817"/>
      <c r="AA166" s="6818"/>
      <c r="AB166" s="6819"/>
      <c r="AC166" s="6820"/>
      <c r="AD166" s="6821"/>
      <c r="AE166" s="6822"/>
      <c r="AF166" s="6823"/>
      <c r="AG166" s="6824"/>
      <c r="AH166" s="6825"/>
      <c r="AI166" s="6826"/>
      <c r="AJ166" s="6827"/>
      <c r="AK166" s="6828"/>
      <c r="AL166" s="6829"/>
      <c r="AM166" s="6830"/>
      <c r="AN166" s="6831"/>
      <c r="AO166" s="6832"/>
      <c r="AP166" s="6833"/>
      <c r="AQ166" s="6834"/>
      <c r="AR166" s="6835"/>
      <c r="AS166" s="6836"/>
      <c r="AT166" s="6837"/>
      <c r="AU166" s="6838"/>
      <c r="AV166" s="6839"/>
      <c r="AW166" s="6840"/>
      <c r="AX166" s="6841"/>
      <c r="AY166" s="6842"/>
      <c r="AZ166" s="6843"/>
      <c r="BA166" s="6844"/>
      <c r="BB166" s="6845"/>
      <c r="BC166" s="6846"/>
      <c r="BD166" s="6847"/>
      <c r="BE166" s="6848"/>
      <c r="BF166" s="6849"/>
      <c r="BG166" s="6850"/>
      <c r="BH166" s="6851"/>
      <c r="BI166" s="6852"/>
      <c r="BJ166" s="6853"/>
      <c r="BK166" s="6854"/>
      <c r="BL166" s="6855"/>
      <c r="BM166" s="6856"/>
      <c r="BN166" s="6857"/>
      <c r="BO166" s="6858"/>
      <c r="BP166" s="6859"/>
      <c r="BQ166" s="6860"/>
      <c r="BR166" s="6861"/>
      <c r="BS166" s="6862"/>
      <c r="BT166" s="6863"/>
      <c r="BU166" s="6864"/>
      <c r="BV166" s="6865"/>
      <c r="BW166" s="6866"/>
      <c r="BX166" s="6867"/>
      <c r="BY166" s="6868"/>
      <c r="BZ166" s="6869"/>
      <c r="CA166" s="6870"/>
      <c r="CB166" s="6871"/>
      <c r="CC166" s="6872"/>
      <c r="CD166" s="6873"/>
      <c r="CE166" s="6874"/>
      <c r="CF166" s="6875"/>
      <c r="CG166" s="6876"/>
      <c r="CH166" s="6877"/>
      <c r="CI166" s="6878"/>
      <c r="CJ166" s="6879"/>
      <c r="CK166" s="6880"/>
      <c r="CL166" s="6881"/>
      <c r="CM166" s="6882"/>
      <c r="CN166" s="6883"/>
      <c r="CO166" s="6884"/>
      <c r="CP166" s="6885"/>
      <c r="CQ166" s="6886"/>
      <c r="CR166" s="6887"/>
      <c r="CS166" s="6888"/>
      <c r="CT166" s="6889"/>
      <c r="CU166" s="6890"/>
      <c r="CV166" s="6891"/>
      <c r="CW166" s="6892"/>
      <c r="CX166" s="6893"/>
      <c r="CY166" s="6894"/>
      <c r="CZ166" s="6895"/>
      <c r="DA166" s="6896"/>
      <c r="DB166" s="6897"/>
      <c r="DC166" s="6898"/>
      <c r="DD166" s="6899"/>
      <c r="DE166" s="6900"/>
      <c r="DF166" s="6901"/>
      <c r="DG166" s="6902"/>
      <c r="DH166" s="6903"/>
      <c r="DI166" s="6904"/>
      <c r="DJ166" s="6905"/>
      <c r="DK166" s="6906"/>
      <c r="DL166" s="6907"/>
      <c r="DM166" s="6908"/>
      <c r="DN166" s="6909"/>
      <c r="DO166" s="6910"/>
      <c r="DP166" s="6911"/>
      <c r="DQ166" s="6912"/>
      <c r="DR166" s="6913"/>
      <c r="DS166" s="6914"/>
      <c r="DT166" s="6915"/>
      <c r="DU166" s="6916"/>
      <c r="DV166" s="6917"/>
      <c r="DW166" s="6918"/>
      <c r="DX166" s="6919"/>
      <c r="DY166" s="6920"/>
      <c r="DZ166" s="6921"/>
      <c r="EA166" s="6922"/>
      <c r="EB166" s="6923"/>
      <c r="EC166" s="6924"/>
      <c r="ED166" s="6925"/>
      <c r="EE166" s="6926"/>
      <c r="EF166" s="6927"/>
      <c r="EG166" s="6928"/>
      <c r="EH166" s="6929"/>
      <c r="EI166" s="6930"/>
      <c r="EJ166" s="6931"/>
      <c r="EK166" s="6932"/>
      <c r="EL166" s="6933"/>
      <c r="EM166" s="15015"/>
      <c r="EN166" s="15016"/>
      <c r="EO166" s="15017"/>
      <c r="EP166" s="15018"/>
      <c r="EQ166" s="15019"/>
      <c r="ER166" s="15020"/>
      <c r="ES166" s="15021"/>
      <c r="ET166" s="15022"/>
      <c r="EU166" s="15023"/>
      <c r="EV166" s="15024"/>
      <c r="EW166" s="15025"/>
      <c r="EX166" s="6934"/>
      <c r="EY166" s="6935"/>
      <c r="EZ166" s="2199"/>
      <c r="FA166" s="2512"/>
      <c r="FB166" s="2512" t="str">
        <f t="shared" si="2"/>
        <v>Добавить группу потребителей</v>
      </c>
      <c r="FC166" s="2512"/>
      <c r="FD166" s="2512"/>
    </row>
    <row r="167" spans="1:160" s="15026" customFormat="1" ht="21" customHeight="1">
      <c r="A167" s="2502"/>
      <c r="B167" s="2502"/>
      <c r="C167" s="2502"/>
      <c r="D167" s="2502"/>
      <c r="E167" s="16125">
        <v>1</v>
      </c>
      <c r="F167" s="16125"/>
      <c r="G167" s="16125"/>
      <c r="H167" s="16124"/>
      <c r="I167" s="2502"/>
      <c r="J167" s="2502"/>
      <c r="K167" s="2502"/>
      <c r="L167" s="2503"/>
      <c r="M167" s="2504"/>
      <c r="N167" s="2504"/>
      <c r="O167" s="2193"/>
      <c r="P167" s="2775"/>
      <c r="Q167" s="2776"/>
      <c r="R167" s="2777"/>
      <c r="S167" s="6936"/>
      <c r="T167" s="6937" t="s">
        <v>623</v>
      </c>
      <c r="U167" s="6938"/>
      <c r="V167" s="6939"/>
      <c r="W167" s="6940"/>
      <c r="X167" s="6941"/>
      <c r="Y167" s="6942"/>
      <c r="Z167" s="6943"/>
      <c r="AA167" s="6944"/>
      <c r="AB167" s="6945"/>
      <c r="AC167" s="6946"/>
      <c r="AD167" s="6947"/>
      <c r="AE167" s="6948"/>
      <c r="AF167" s="6949"/>
      <c r="AG167" s="6950"/>
      <c r="AH167" s="6951"/>
      <c r="AI167" s="6952"/>
      <c r="AJ167" s="6953"/>
      <c r="AK167" s="6954"/>
      <c r="AL167" s="6955"/>
      <c r="AM167" s="6956"/>
      <c r="AN167" s="6957"/>
      <c r="AO167" s="6958"/>
      <c r="AP167" s="6959"/>
      <c r="AQ167" s="6960"/>
      <c r="AR167" s="6961"/>
      <c r="AS167" s="6962"/>
      <c r="AT167" s="6963"/>
      <c r="AU167" s="6964"/>
      <c r="AV167" s="6965"/>
      <c r="AW167" s="6966"/>
      <c r="AX167" s="6967"/>
      <c r="AY167" s="6968"/>
      <c r="AZ167" s="6969"/>
      <c r="BA167" s="6970"/>
      <c r="BB167" s="6971"/>
      <c r="BC167" s="6972"/>
      <c r="BD167" s="6973"/>
      <c r="BE167" s="6974"/>
      <c r="BF167" s="6975"/>
      <c r="BG167" s="6976"/>
      <c r="BH167" s="6977"/>
      <c r="BI167" s="6978"/>
      <c r="BJ167" s="6979"/>
      <c r="BK167" s="6980"/>
      <c r="BL167" s="6981"/>
      <c r="BM167" s="6982"/>
      <c r="BN167" s="6983"/>
      <c r="BO167" s="6984"/>
      <c r="BP167" s="6985"/>
      <c r="BQ167" s="6986"/>
      <c r="BR167" s="6987"/>
      <c r="BS167" s="6988"/>
      <c r="BT167" s="6989"/>
      <c r="BU167" s="6990"/>
      <c r="BV167" s="6991"/>
      <c r="BW167" s="6992"/>
      <c r="BX167" s="6993"/>
      <c r="BY167" s="6994"/>
      <c r="BZ167" s="6995"/>
      <c r="CA167" s="6996"/>
      <c r="CB167" s="6997"/>
      <c r="CC167" s="6998"/>
      <c r="CD167" s="6999"/>
      <c r="CE167" s="7000"/>
      <c r="CF167" s="7001"/>
      <c r="CG167" s="7002"/>
      <c r="CH167" s="7003"/>
      <c r="CI167" s="7004"/>
      <c r="CJ167" s="7005"/>
      <c r="CK167" s="7006"/>
      <c r="CL167" s="7007"/>
      <c r="CM167" s="7008"/>
      <c r="CN167" s="7009"/>
      <c r="CO167" s="7010"/>
      <c r="CP167" s="7011"/>
      <c r="CQ167" s="7012"/>
      <c r="CR167" s="7013"/>
      <c r="CS167" s="7014"/>
      <c r="CT167" s="7015"/>
      <c r="CU167" s="7016"/>
      <c r="CV167" s="7017"/>
      <c r="CW167" s="7018"/>
      <c r="CX167" s="7019"/>
      <c r="CY167" s="7020"/>
      <c r="CZ167" s="7021"/>
      <c r="DA167" s="7022"/>
      <c r="DB167" s="7023"/>
      <c r="DC167" s="7024"/>
      <c r="DD167" s="7025"/>
      <c r="DE167" s="7026"/>
      <c r="DF167" s="7027"/>
      <c r="DG167" s="7028"/>
      <c r="DH167" s="7029"/>
      <c r="DI167" s="7030"/>
      <c r="DJ167" s="7031"/>
      <c r="DK167" s="7032"/>
      <c r="DL167" s="7033"/>
      <c r="DM167" s="7034"/>
      <c r="DN167" s="7035"/>
      <c r="DO167" s="7036"/>
      <c r="DP167" s="7037"/>
      <c r="DQ167" s="7038"/>
      <c r="DR167" s="7039"/>
      <c r="DS167" s="7040"/>
      <c r="DT167" s="7041"/>
      <c r="DU167" s="7042"/>
      <c r="DV167" s="7043"/>
      <c r="DW167" s="7044"/>
      <c r="DX167" s="7045"/>
      <c r="DY167" s="7046"/>
      <c r="DZ167" s="7047"/>
      <c r="EA167" s="7048"/>
      <c r="EB167" s="7049"/>
      <c r="EC167" s="7050"/>
      <c r="ED167" s="7051"/>
      <c r="EE167" s="7052"/>
      <c r="EF167" s="7053"/>
      <c r="EG167" s="7054"/>
      <c r="EH167" s="7055"/>
      <c r="EI167" s="7056"/>
      <c r="EJ167" s="7057"/>
      <c r="EK167" s="7058"/>
      <c r="EL167" s="7059"/>
      <c r="EM167" s="15027"/>
      <c r="EN167" s="15028"/>
      <c r="EO167" s="15029"/>
      <c r="EP167" s="15030"/>
      <c r="EQ167" s="15031"/>
      <c r="ER167" s="15032"/>
      <c r="ES167" s="15033"/>
      <c r="ET167" s="15034"/>
      <c r="EU167" s="15035"/>
      <c r="EV167" s="15036"/>
      <c r="EW167" s="15037"/>
      <c r="EX167" s="7060"/>
      <c r="EY167" s="7061"/>
      <c r="EZ167" s="2199"/>
      <c r="FA167" s="2512"/>
      <c r="FB167" s="2512" t="str">
        <f t="shared" si="2"/>
        <v>Добавить наименование признака дифференциации</v>
      </c>
      <c r="FC167" s="2512"/>
      <c r="FD167" s="2512"/>
    </row>
    <row r="168" spans="1:160" s="15038" customFormat="1" ht="23.25" customHeight="1">
      <c r="A168" s="2502"/>
      <c r="B168" s="2502"/>
      <c r="C168" s="2502" t="s">
        <v>333</v>
      </c>
      <c r="D168" s="2502"/>
      <c r="E168" s="16125"/>
      <c r="F168" s="16125"/>
      <c r="G168" s="16124" t="s">
        <v>102</v>
      </c>
      <c r="H168" s="2502"/>
      <c r="I168" s="2502"/>
      <c r="J168" s="2502"/>
      <c r="K168" s="2502"/>
      <c r="L168" s="2503"/>
      <c r="M168" s="2504"/>
      <c r="N168" s="2504"/>
      <c r="O168" s="2504"/>
      <c r="P168" s="2505"/>
      <c r="Q168" s="2506"/>
      <c r="R168" s="2507"/>
      <c r="S168" s="2508" t="str">
        <f>INDEX(PT_DIFFERENTIATION_NUM_CS,MATCH(C168,PT_DIFFERENTIATION_CS_ID,0))</f>
        <v>2.1.2</v>
      </c>
      <c r="T168" s="2509" t="s">
        <v>665</v>
      </c>
      <c r="U168" s="2510"/>
      <c r="V168" s="16110"/>
      <c r="W168" s="16111"/>
      <c r="X168" s="16111"/>
      <c r="Y168" s="16111"/>
      <c r="Z168" s="16111"/>
      <c r="AA168" s="16111"/>
      <c r="AB168" s="16111"/>
      <c r="AC168" s="16111"/>
      <c r="AD168" s="16111"/>
      <c r="AE168" s="16111"/>
      <c r="AF168" s="16112"/>
      <c r="AG168" s="16110" t="str">
        <f>INDEX(PT_DIFFERENTIATION_CS,MATCH(C168,PT_DIFFERENTIATION_CS_ID,0))</f>
        <v>городской округ город-герой Мурманск (потребители котельной ул. Фестивальная)</v>
      </c>
      <c r="AH168" s="16111"/>
      <c r="AI168" s="16111"/>
      <c r="AJ168" s="16111"/>
      <c r="AK168" s="16111"/>
      <c r="AL168" s="16111"/>
      <c r="AM168" s="16111"/>
      <c r="AN168" s="16111"/>
      <c r="AO168" s="16111"/>
      <c r="AP168" s="16111"/>
      <c r="AQ168" s="16111"/>
      <c r="AR168" s="16110"/>
      <c r="AS168" s="16111"/>
      <c r="AT168" s="16111"/>
      <c r="AU168" s="16111"/>
      <c r="AV168" s="16111"/>
      <c r="AW168" s="16111"/>
      <c r="AX168" s="16111"/>
      <c r="AY168" s="16111"/>
      <c r="AZ168" s="16111"/>
      <c r="BA168" s="16111"/>
      <c r="BB168" s="16112"/>
      <c r="BC168" s="16110"/>
      <c r="BD168" s="16111"/>
      <c r="BE168" s="16111"/>
      <c r="BF168" s="16111"/>
      <c r="BG168" s="16111"/>
      <c r="BH168" s="16111"/>
      <c r="BI168" s="16111"/>
      <c r="BJ168" s="16111"/>
      <c r="BK168" s="16111"/>
      <c r="BL168" s="16111"/>
      <c r="BM168" s="16112"/>
      <c r="BN168" s="16110"/>
      <c r="BO168" s="16111"/>
      <c r="BP168" s="16111"/>
      <c r="BQ168" s="16111"/>
      <c r="BR168" s="16111"/>
      <c r="BS168" s="16111"/>
      <c r="BT168" s="16111"/>
      <c r="BU168" s="16111"/>
      <c r="BV168" s="16111"/>
      <c r="BW168" s="16111"/>
      <c r="BX168" s="16112"/>
      <c r="BY168" s="16110"/>
      <c r="BZ168" s="16111"/>
      <c r="CA168" s="16111"/>
      <c r="CB168" s="16111"/>
      <c r="CC168" s="16111"/>
      <c r="CD168" s="16111"/>
      <c r="CE168" s="16111"/>
      <c r="CF168" s="16111"/>
      <c r="CG168" s="16111"/>
      <c r="CH168" s="16111"/>
      <c r="CI168" s="16112"/>
      <c r="CJ168" s="16110"/>
      <c r="CK168" s="16111"/>
      <c r="CL168" s="16111"/>
      <c r="CM168" s="16111"/>
      <c r="CN168" s="16111"/>
      <c r="CO168" s="16111"/>
      <c r="CP168" s="16111"/>
      <c r="CQ168" s="16111"/>
      <c r="CR168" s="16111"/>
      <c r="CS168" s="16111"/>
      <c r="CT168" s="16112"/>
      <c r="CU168" s="16110"/>
      <c r="CV168" s="16111"/>
      <c r="CW168" s="16111"/>
      <c r="CX168" s="16111"/>
      <c r="CY168" s="16111"/>
      <c r="CZ168" s="16111"/>
      <c r="DA168" s="16111"/>
      <c r="DB168" s="16111"/>
      <c r="DC168" s="16111"/>
      <c r="DD168" s="16111"/>
      <c r="DE168" s="16112"/>
      <c r="DF168" s="16110"/>
      <c r="DG168" s="16111"/>
      <c r="DH168" s="16111"/>
      <c r="DI168" s="16111"/>
      <c r="DJ168" s="16111"/>
      <c r="DK168" s="16111"/>
      <c r="DL168" s="16111"/>
      <c r="DM168" s="16111"/>
      <c r="DN168" s="16111"/>
      <c r="DO168" s="16111"/>
      <c r="DP168" s="16112"/>
      <c r="DQ168" s="16110"/>
      <c r="DR168" s="16111"/>
      <c r="DS168" s="16111"/>
      <c r="DT168" s="16111"/>
      <c r="DU168" s="16111"/>
      <c r="DV168" s="16111"/>
      <c r="DW168" s="16111"/>
      <c r="DX168" s="16111"/>
      <c r="DY168" s="16111"/>
      <c r="DZ168" s="16111"/>
      <c r="EA168" s="16112"/>
      <c r="EB168" s="16110"/>
      <c r="EC168" s="16111"/>
      <c r="ED168" s="16111"/>
      <c r="EE168" s="16111"/>
      <c r="EF168" s="16111"/>
      <c r="EG168" s="16111"/>
      <c r="EH168" s="16111"/>
      <c r="EI168" s="16111"/>
      <c r="EJ168" s="16111"/>
      <c r="EK168" s="16111"/>
      <c r="EL168" s="16112"/>
      <c r="EM168" s="16110"/>
      <c r="EN168" s="16111"/>
      <c r="EO168" s="16111"/>
      <c r="EP168" s="16111"/>
      <c r="EQ168" s="16111"/>
      <c r="ER168" s="16111"/>
      <c r="ES168" s="16111"/>
      <c r="ET168" s="16111"/>
      <c r="EU168" s="16111"/>
      <c r="EV168" s="16111"/>
      <c r="EW168" s="16112"/>
      <c r="EX168" s="16112"/>
      <c r="EY168" s="2511" t="s">
        <v>666</v>
      </c>
      <c r="EZ168" s="2199"/>
      <c r="FA168" s="2512"/>
      <c r="FB168" s="2512" t="str">
        <f t="shared" si="2"/>
        <v>Наименование централизованной системы горячего водоснабжения</v>
      </c>
      <c r="FC168" s="2512"/>
      <c r="FD168" s="2512"/>
    </row>
    <row r="169" spans="1:160" s="15039" customFormat="1" ht="23.25" customHeight="1">
      <c r="A169" s="2502"/>
      <c r="B169" s="2502"/>
      <c r="C169" s="2502"/>
      <c r="D169" s="2502"/>
      <c r="E169" s="16125"/>
      <c r="F169" s="16125"/>
      <c r="G169" s="16125">
        <v>1</v>
      </c>
      <c r="H169" s="16125"/>
      <c r="I169" s="16122" t="str">
        <f>S168&amp;".1"</f>
        <v>2.1.2.1</v>
      </c>
      <c r="J169" s="2502"/>
      <c r="K169" s="2502"/>
      <c r="L169" s="2503"/>
      <c r="M169" s="2513"/>
      <c r="N169" s="2513"/>
      <c r="O169" s="2513"/>
      <c r="P169" s="16123">
        <v>1</v>
      </c>
      <c r="Q169" s="2514"/>
      <c r="R169" s="2515"/>
      <c r="S169" s="2508" t="str">
        <f>$I169</f>
        <v>2.1.2.1</v>
      </c>
      <c r="T169" s="2516" t="s">
        <v>618</v>
      </c>
      <c r="U169" s="2510"/>
      <c r="V169" s="16183"/>
      <c r="W169" s="16184"/>
      <c r="X169" s="16184"/>
      <c r="Y169" s="16184"/>
      <c r="Z169" s="16184"/>
      <c r="AA169" s="16184"/>
      <c r="AB169" s="16184"/>
      <c r="AC169" s="16184"/>
      <c r="AD169" s="16184"/>
      <c r="AE169" s="16184"/>
      <c r="AF169" s="16185"/>
      <c r="AG169" s="16186"/>
      <c r="AH169" s="16187"/>
      <c r="AI169" s="16187"/>
      <c r="AJ169" s="16187"/>
      <c r="AK169" s="16187"/>
      <c r="AL169" s="16187"/>
      <c r="AM169" s="16187"/>
      <c r="AN169" s="16187"/>
      <c r="AO169" s="16187"/>
      <c r="AP169" s="16187"/>
      <c r="AQ169" s="16187"/>
      <c r="AR169" s="16183"/>
      <c r="AS169" s="16184"/>
      <c r="AT169" s="16184"/>
      <c r="AU169" s="16184"/>
      <c r="AV169" s="16184"/>
      <c r="AW169" s="16184"/>
      <c r="AX169" s="16184"/>
      <c r="AY169" s="16184"/>
      <c r="AZ169" s="16184"/>
      <c r="BA169" s="16184"/>
      <c r="BB169" s="16185"/>
      <c r="BC169" s="16183"/>
      <c r="BD169" s="16184"/>
      <c r="BE169" s="16184"/>
      <c r="BF169" s="16184"/>
      <c r="BG169" s="16184"/>
      <c r="BH169" s="16184"/>
      <c r="BI169" s="16184"/>
      <c r="BJ169" s="16184"/>
      <c r="BK169" s="16184"/>
      <c r="BL169" s="16184"/>
      <c r="BM169" s="16185"/>
      <c r="BN169" s="16183"/>
      <c r="BO169" s="16184"/>
      <c r="BP169" s="16184"/>
      <c r="BQ169" s="16184"/>
      <c r="BR169" s="16184"/>
      <c r="BS169" s="16184"/>
      <c r="BT169" s="16184"/>
      <c r="BU169" s="16184"/>
      <c r="BV169" s="16184"/>
      <c r="BW169" s="16184"/>
      <c r="BX169" s="16185"/>
      <c r="BY169" s="16183"/>
      <c r="BZ169" s="16184"/>
      <c r="CA169" s="16184"/>
      <c r="CB169" s="16184"/>
      <c r="CC169" s="16184"/>
      <c r="CD169" s="16184"/>
      <c r="CE169" s="16184"/>
      <c r="CF169" s="16184"/>
      <c r="CG169" s="16184"/>
      <c r="CH169" s="16184"/>
      <c r="CI169" s="16185"/>
      <c r="CJ169" s="16183"/>
      <c r="CK169" s="16184"/>
      <c r="CL169" s="16184"/>
      <c r="CM169" s="16184"/>
      <c r="CN169" s="16184"/>
      <c r="CO169" s="16184"/>
      <c r="CP169" s="16184"/>
      <c r="CQ169" s="16184"/>
      <c r="CR169" s="16184"/>
      <c r="CS169" s="16184"/>
      <c r="CT169" s="16185"/>
      <c r="CU169" s="16183"/>
      <c r="CV169" s="16184"/>
      <c r="CW169" s="16184"/>
      <c r="CX169" s="16184"/>
      <c r="CY169" s="16184"/>
      <c r="CZ169" s="16184"/>
      <c r="DA169" s="16184"/>
      <c r="DB169" s="16184"/>
      <c r="DC169" s="16184"/>
      <c r="DD169" s="16184"/>
      <c r="DE169" s="16185"/>
      <c r="DF169" s="16183"/>
      <c r="DG169" s="16184"/>
      <c r="DH169" s="16184"/>
      <c r="DI169" s="16184"/>
      <c r="DJ169" s="16184"/>
      <c r="DK169" s="16184"/>
      <c r="DL169" s="16184"/>
      <c r="DM169" s="16184"/>
      <c r="DN169" s="16184"/>
      <c r="DO169" s="16184"/>
      <c r="DP169" s="16185"/>
      <c r="DQ169" s="16183"/>
      <c r="DR169" s="16184"/>
      <c r="DS169" s="16184"/>
      <c r="DT169" s="16184"/>
      <c r="DU169" s="16184"/>
      <c r="DV169" s="16184"/>
      <c r="DW169" s="16184"/>
      <c r="DX169" s="16184"/>
      <c r="DY169" s="16184"/>
      <c r="DZ169" s="16184"/>
      <c r="EA169" s="16185"/>
      <c r="EB169" s="16183"/>
      <c r="EC169" s="16184"/>
      <c r="ED169" s="16184"/>
      <c r="EE169" s="16184"/>
      <c r="EF169" s="16184"/>
      <c r="EG169" s="16184"/>
      <c r="EH169" s="16184"/>
      <c r="EI169" s="16184"/>
      <c r="EJ169" s="16184"/>
      <c r="EK169" s="16184"/>
      <c r="EL169" s="16185"/>
      <c r="EM169" s="16183"/>
      <c r="EN169" s="16184"/>
      <c r="EO169" s="16184"/>
      <c r="EP169" s="16184"/>
      <c r="EQ169" s="16184"/>
      <c r="ER169" s="16184"/>
      <c r="ES169" s="16184"/>
      <c r="ET169" s="16184"/>
      <c r="EU169" s="16184"/>
      <c r="EV169" s="16184"/>
      <c r="EW169" s="16185"/>
      <c r="EX169" s="16188"/>
      <c r="EY169" s="2511" t="s">
        <v>619</v>
      </c>
      <c r="EZ169" s="2199"/>
      <c r="FA169" s="2512"/>
      <c r="FB169" s="2512" t="str">
        <f t="shared" si="2"/>
        <v>Наименование признака дифференциации</v>
      </c>
      <c r="FC169" s="2512"/>
      <c r="FD169" s="2512"/>
    </row>
    <row r="170" spans="1:160" s="15040" customFormat="1" ht="23.25" customHeight="1">
      <c r="A170" s="2502"/>
      <c r="B170" s="2502"/>
      <c r="C170" s="2502"/>
      <c r="D170" s="2502"/>
      <c r="E170" s="16125"/>
      <c r="F170" s="16125"/>
      <c r="G170" s="16125">
        <v>1</v>
      </c>
      <c r="H170" s="16125"/>
      <c r="I170" s="16145"/>
      <c r="J170" s="16122" t="str">
        <f>I169&amp;".1"</f>
        <v>2.1.2.1.1</v>
      </c>
      <c r="K170" s="2502"/>
      <c r="L170" s="2503" t="s">
        <v>543</v>
      </c>
      <c r="M170" s="2513"/>
      <c r="N170" s="2513"/>
      <c r="O170" s="2513"/>
      <c r="P170" s="16123"/>
      <c r="Q170" s="16123">
        <v>1</v>
      </c>
      <c r="R170" s="2517"/>
      <c r="S170" s="2508" t="str">
        <f>$J170</f>
        <v>2.1.2.1.1</v>
      </c>
      <c r="T170" s="2518" t="s">
        <v>544</v>
      </c>
      <c r="U170" s="2510"/>
      <c r="V170" s="16113"/>
      <c r="W170" s="16114"/>
      <c r="X170" s="16114"/>
      <c r="Y170" s="16114"/>
      <c r="Z170" s="16114"/>
      <c r="AA170" s="16114"/>
      <c r="AB170" s="16114"/>
      <c r="AC170" s="16114"/>
      <c r="AD170" s="16114"/>
      <c r="AE170" s="16114"/>
      <c r="AF170" s="16115"/>
      <c r="AG170" s="16113" t="s">
        <v>679</v>
      </c>
      <c r="AH170" s="16114"/>
      <c r="AI170" s="16114"/>
      <c r="AJ170" s="16114"/>
      <c r="AK170" s="16114"/>
      <c r="AL170" s="16114"/>
      <c r="AM170" s="16114"/>
      <c r="AN170" s="16114"/>
      <c r="AO170" s="16114"/>
      <c r="AP170" s="16114"/>
      <c r="AQ170" s="16114"/>
      <c r="AR170" s="16113"/>
      <c r="AS170" s="16114"/>
      <c r="AT170" s="16114"/>
      <c r="AU170" s="16114"/>
      <c r="AV170" s="16114"/>
      <c r="AW170" s="16114"/>
      <c r="AX170" s="16114"/>
      <c r="AY170" s="16114"/>
      <c r="AZ170" s="16114"/>
      <c r="BA170" s="16114"/>
      <c r="BB170" s="16115"/>
      <c r="BC170" s="16113"/>
      <c r="BD170" s="16114"/>
      <c r="BE170" s="16114"/>
      <c r="BF170" s="16114"/>
      <c r="BG170" s="16114"/>
      <c r="BH170" s="16114"/>
      <c r="BI170" s="16114"/>
      <c r="BJ170" s="16114"/>
      <c r="BK170" s="16114"/>
      <c r="BL170" s="16114"/>
      <c r="BM170" s="16115"/>
      <c r="BN170" s="16113"/>
      <c r="BO170" s="16114"/>
      <c r="BP170" s="16114"/>
      <c r="BQ170" s="16114"/>
      <c r="BR170" s="16114"/>
      <c r="BS170" s="16114"/>
      <c r="BT170" s="16114"/>
      <c r="BU170" s="16114"/>
      <c r="BV170" s="16114"/>
      <c r="BW170" s="16114"/>
      <c r="BX170" s="16115"/>
      <c r="BY170" s="16113"/>
      <c r="BZ170" s="16114"/>
      <c r="CA170" s="16114"/>
      <c r="CB170" s="16114"/>
      <c r="CC170" s="16114"/>
      <c r="CD170" s="16114"/>
      <c r="CE170" s="16114"/>
      <c r="CF170" s="16114"/>
      <c r="CG170" s="16114"/>
      <c r="CH170" s="16114"/>
      <c r="CI170" s="16115"/>
      <c r="CJ170" s="16113"/>
      <c r="CK170" s="16114"/>
      <c r="CL170" s="16114"/>
      <c r="CM170" s="16114"/>
      <c r="CN170" s="16114"/>
      <c r="CO170" s="16114"/>
      <c r="CP170" s="16114"/>
      <c r="CQ170" s="16114"/>
      <c r="CR170" s="16114"/>
      <c r="CS170" s="16114"/>
      <c r="CT170" s="16115"/>
      <c r="CU170" s="16113"/>
      <c r="CV170" s="16114"/>
      <c r="CW170" s="16114"/>
      <c r="CX170" s="16114"/>
      <c r="CY170" s="16114"/>
      <c r="CZ170" s="16114"/>
      <c r="DA170" s="16114"/>
      <c r="DB170" s="16114"/>
      <c r="DC170" s="16114"/>
      <c r="DD170" s="16114"/>
      <c r="DE170" s="16115"/>
      <c r="DF170" s="16113"/>
      <c r="DG170" s="16114"/>
      <c r="DH170" s="16114"/>
      <c r="DI170" s="16114"/>
      <c r="DJ170" s="16114"/>
      <c r="DK170" s="16114"/>
      <c r="DL170" s="16114"/>
      <c r="DM170" s="16114"/>
      <c r="DN170" s="16114"/>
      <c r="DO170" s="16114"/>
      <c r="DP170" s="16115"/>
      <c r="DQ170" s="16113"/>
      <c r="DR170" s="16114"/>
      <c r="DS170" s="16114"/>
      <c r="DT170" s="16114"/>
      <c r="DU170" s="16114"/>
      <c r="DV170" s="16114"/>
      <c r="DW170" s="16114"/>
      <c r="DX170" s="16114"/>
      <c r="DY170" s="16114"/>
      <c r="DZ170" s="16114"/>
      <c r="EA170" s="16115"/>
      <c r="EB170" s="16113"/>
      <c r="EC170" s="16114"/>
      <c r="ED170" s="16114"/>
      <c r="EE170" s="16114"/>
      <c r="EF170" s="16114"/>
      <c r="EG170" s="16114"/>
      <c r="EH170" s="16114"/>
      <c r="EI170" s="16114"/>
      <c r="EJ170" s="16114"/>
      <c r="EK170" s="16114"/>
      <c r="EL170" s="16115"/>
      <c r="EM170" s="16113"/>
      <c r="EN170" s="16114"/>
      <c r="EO170" s="16114"/>
      <c r="EP170" s="16114"/>
      <c r="EQ170" s="16114"/>
      <c r="ER170" s="16114"/>
      <c r="ES170" s="16114"/>
      <c r="ET170" s="16114"/>
      <c r="EU170" s="16114"/>
      <c r="EV170" s="16114"/>
      <c r="EW170" s="16115"/>
      <c r="EX170" s="16115"/>
      <c r="EY170" s="2519" t="s">
        <v>620</v>
      </c>
      <c r="EZ170" s="2199"/>
      <c r="FA170" s="2512"/>
      <c r="FB170" s="2512" t="str">
        <f t="shared" ref="FB170:FB233" si="3">IF(T170="","",T170)</f>
        <v>Группа потребителей</v>
      </c>
      <c r="FC170" s="2512"/>
      <c r="FD170" s="2512"/>
    </row>
    <row r="171" spans="1:160" s="15041" customFormat="1" ht="23.25" customHeight="1">
      <c r="A171" s="2502"/>
      <c r="B171" s="2502"/>
      <c r="C171" s="2502"/>
      <c r="D171" s="2502"/>
      <c r="E171" s="16125"/>
      <c r="F171" s="16125"/>
      <c r="G171" s="16125">
        <v>1</v>
      </c>
      <c r="H171" s="16125"/>
      <c r="I171" s="16145"/>
      <c r="J171" s="16145"/>
      <c r="K171" s="16122" t="str">
        <f>J170&amp;".1"</f>
        <v>2.1.2.1.1.1</v>
      </c>
      <c r="L171" s="2503"/>
      <c r="M171" s="2513"/>
      <c r="N171" s="2513"/>
      <c r="O171" s="2513"/>
      <c r="P171" s="16123"/>
      <c r="Q171" s="16123"/>
      <c r="R171" s="2517">
        <v>1</v>
      </c>
      <c r="S171" s="2508" t="str">
        <f>$K171</f>
        <v>2.1.2.1.1.1</v>
      </c>
      <c r="T171" s="2520"/>
      <c r="U171" s="2510"/>
      <c r="V171" s="1893"/>
      <c r="W171" s="1893"/>
      <c r="X171" s="1893"/>
      <c r="Y171" s="1893"/>
      <c r="Z171" s="1893"/>
      <c r="AA171" s="1893"/>
      <c r="AB171" s="1893"/>
      <c r="AC171" s="16127"/>
      <c r="AD171" s="15973" t="s">
        <v>66</v>
      </c>
      <c r="AE171" s="16127"/>
      <c r="AF171" s="15973" t="s">
        <v>66</v>
      </c>
      <c r="AG171" s="1893">
        <v>35.07</v>
      </c>
      <c r="AH171" s="1893"/>
      <c r="AI171" s="1893"/>
      <c r="AJ171" s="1893"/>
      <c r="AK171" s="1893">
        <v>3165.42</v>
      </c>
      <c r="AL171" s="1893"/>
      <c r="AM171" s="1893"/>
      <c r="AN171" s="16127">
        <v>45292</v>
      </c>
      <c r="AO171" s="15973" t="s">
        <v>66</v>
      </c>
      <c r="AP171" s="16146">
        <v>45378</v>
      </c>
      <c r="AQ171" s="15973" t="s">
        <v>66</v>
      </c>
      <c r="AR171" s="1893">
        <v>35.07</v>
      </c>
      <c r="AS171" s="1893"/>
      <c r="AT171" s="1893"/>
      <c r="AU171" s="1893"/>
      <c r="AV171" s="1893">
        <v>3165.42</v>
      </c>
      <c r="AW171" s="1893"/>
      <c r="AX171" s="1893"/>
      <c r="AY171" s="16127">
        <v>45379</v>
      </c>
      <c r="AZ171" s="15973" t="s">
        <v>66</v>
      </c>
      <c r="BA171" s="16127">
        <v>45473</v>
      </c>
      <c r="BB171" s="15973" t="s">
        <v>66</v>
      </c>
      <c r="BC171" s="1893">
        <v>38.96</v>
      </c>
      <c r="BD171" s="1893"/>
      <c r="BE171" s="1893"/>
      <c r="BF171" s="1893"/>
      <c r="BG171" s="1893">
        <v>8344.31</v>
      </c>
      <c r="BH171" s="1893"/>
      <c r="BI171" s="1893"/>
      <c r="BJ171" s="16127">
        <v>45474</v>
      </c>
      <c r="BK171" s="15973" t="s">
        <v>66</v>
      </c>
      <c r="BL171" s="16127">
        <v>45657</v>
      </c>
      <c r="BM171" s="15973" t="s">
        <v>66</v>
      </c>
      <c r="BN171" s="1893">
        <v>37.31</v>
      </c>
      <c r="BO171" s="1893"/>
      <c r="BP171" s="1893"/>
      <c r="BQ171" s="1893"/>
      <c r="BR171" s="1893">
        <v>5407.73</v>
      </c>
      <c r="BS171" s="1893"/>
      <c r="BT171" s="1893"/>
      <c r="BU171" s="16127">
        <v>45658</v>
      </c>
      <c r="BV171" s="15973" t="s">
        <v>66</v>
      </c>
      <c r="BW171" s="16127">
        <v>45838</v>
      </c>
      <c r="BX171" s="15973" t="s">
        <v>66</v>
      </c>
      <c r="BY171" s="1893">
        <v>37.369999999999997</v>
      </c>
      <c r="BZ171" s="1893"/>
      <c r="CA171" s="1893"/>
      <c r="CB171" s="1893"/>
      <c r="CC171" s="1893">
        <v>5407.73</v>
      </c>
      <c r="CD171" s="1893"/>
      <c r="CE171" s="1893"/>
      <c r="CF171" s="16127">
        <v>45839</v>
      </c>
      <c r="CG171" s="15973" t="s">
        <v>66</v>
      </c>
      <c r="CH171" s="16127">
        <v>46022</v>
      </c>
      <c r="CI171" s="15973" t="s">
        <v>66</v>
      </c>
      <c r="CJ171" s="1893">
        <v>37.369999999999997</v>
      </c>
      <c r="CK171" s="1893"/>
      <c r="CL171" s="1893"/>
      <c r="CM171" s="1893"/>
      <c r="CN171" s="1893">
        <v>5407.73</v>
      </c>
      <c r="CO171" s="1893"/>
      <c r="CP171" s="1893"/>
      <c r="CQ171" s="16127">
        <v>46023</v>
      </c>
      <c r="CR171" s="15973" t="s">
        <v>66</v>
      </c>
      <c r="CS171" s="16127">
        <v>46203</v>
      </c>
      <c r="CT171" s="15973" t="s">
        <v>66</v>
      </c>
      <c r="CU171" s="1893">
        <v>39.51</v>
      </c>
      <c r="CV171" s="1893"/>
      <c r="CW171" s="1893"/>
      <c r="CX171" s="1893"/>
      <c r="CY171" s="1893">
        <v>5694.76</v>
      </c>
      <c r="CZ171" s="1893"/>
      <c r="DA171" s="1893"/>
      <c r="DB171" s="16127">
        <v>46204</v>
      </c>
      <c r="DC171" s="15973" t="s">
        <v>66</v>
      </c>
      <c r="DD171" s="16127">
        <v>46387</v>
      </c>
      <c r="DE171" s="15973" t="s">
        <v>66</v>
      </c>
      <c r="DF171" s="1893">
        <v>39.51</v>
      </c>
      <c r="DG171" s="1893"/>
      <c r="DH171" s="1893"/>
      <c r="DI171" s="1893"/>
      <c r="DJ171" s="1893">
        <v>5674.41</v>
      </c>
      <c r="DK171" s="1893"/>
      <c r="DL171" s="1893"/>
      <c r="DM171" s="16127">
        <v>46388</v>
      </c>
      <c r="DN171" s="15973" t="s">
        <v>66</v>
      </c>
      <c r="DO171" s="16127">
        <v>46568</v>
      </c>
      <c r="DP171" s="15973" t="s">
        <v>66</v>
      </c>
      <c r="DQ171" s="1893">
        <v>39.82</v>
      </c>
      <c r="DR171" s="1893"/>
      <c r="DS171" s="1893"/>
      <c r="DT171" s="1893"/>
      <c r="DU171" s="1893">
        <v>5674.41</v>
      </c>
      <c r="DV171" s="1893"/>
      <c r="DW171" s="1893"/>
      <c r="DX171" s="16127">
        <v>46569</v>
      </c>
      <c r="DY171" s="15973" t="s">
        <v>66</v>
      </c>
      <c r="DZ171" s="16127">
        <v>46752</v>
      </c>
      <c r="EA171" s="15973" t="s">
        <v>66</v>
      </c>
      <c r="EB171" s="1893">
        <v>39.82</v>
      </c>
      <c r="EC171" s="1893"/>
      <c r="ED171" s="1893"/>
      <c r="EE171" s="1893"/>
      <c r="EF171" s="1893">
        <v>5674.41</v>
      </c>
      <c r="EG171" s="1893"/>
      <c r="EH171" s="1893"/>
      <c r="EI171" s="16127">
        <v>46753</v>
      </c>
      <c r="EJ171" s="15973" t="s">
        <v>66</v>
      </c>
      <c r="EK171" s="16127">
        <v>46934</v>
      </c>
      <c r="EL171" s="15973" t="s">
        <v>66</v>
      </c>
      <c r="EM171" s="14448">
        <v>41.41</v>
      </c>
      <c r="EN171" s="14448"/>
      <c r="EO171" s="14448"/>
      <c r="EP171" s="14448"/>
      <c r="EQ171" s="14448">
        <v>6004.74</v>
      </c>
      <c r="ER171" s="14448"/>
      <c r="ES171" s="14448"/>
      <c r="ET171" s="16127">
        <v>46935</v>
      </c>
      <c r="EU171" s="15973" t="s">
        <v>66</v>
      </c>
      <c r="EV171" s="16127">
        <v>47118</v>
      </c>
      <c r="EW171" s="15973" t="s">
        <v>66</v>
      </c>
      <c r="EX171" s="2521"/>
      <c r="EY17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71" s="2199" t="e">
        <f ca="1">STRCHECKDATE(V172:EX172)</f>
        <v>#NAME?</v>
      </c>
      <c r="FA171" s="2512"/>
      <c r="FB171" s="2512" t="str">
        <f t="shared" si="3"/>
        <v/>
      </c>
      <c r="FC171" s="2512"/>
      <c r="FD171" s="2512"/>
    </row>
    <row r="172" spans="1:160" s="15042" customFormat="1" ht="14.25" customHeight="1">
      <c r="A172" s="2502"/>
      <c r="B172" s="2502"/>
      <c r="C172" s="2502"/>
      <c r="D172" s="2502"/>
      <c r="E172" s="16125"/>
      <c r="F172" s="16125"/>
      <c r="G172" s="16125">
        <v>1</v>
      </c>
      <c r="H172" s="16125"/>
      <c r="I172" s="16145"/>
      <c r="J172" s="16145"/>
      <c r="K172" s="16122"/>
      <c r="L172" s="2503"/>
      <c r="M172" s="2513"/>
      <c r="N172" s="2513"/>
      <c r="O172" s="2513"/>
      <c r="P172" s="16123"/>
      <c r="Q172" s="16123"/>
      <c r="R172" s="2517"/>
      <c r="S172" s="2522"/>
      <c r="T172" s="2510"/>
      <c r="U172" s="2510"/>
      <c r="V172" s="1894"/>
      <c r="W172" s="1894"/>
      <c r="X172" s="1894"/>
      <c r="Y172" s="1894"/>
      <c r="Z172" s="1894"/>
      <c r="AA172" s="1894"/>
      <c r="AB172" s="1894"/>
      <c r="AC172" s="16128"/>
      <c r="AD172" s="15973"/>
      <c r="AE172" s="16128"/>
      <c r="AF172" s="15973"/>
      <c r="AG172" s="1894"/>
      <c r="AH172" s="1894"/>
      <c r="AI172" s="1894"/>
      <c r="AJ172" s="1894"/>
      <c r="AK172" s="1894"/>
      <c r="AL172" s="1894"/>
      <c r="AM172" s="1894"/>
      <c r="AN172" s="16128"/>
      <c r="AO172" s="15973"/>
      <c r="AP172" s="16147"/>
      <c r="AQ172" s="15973"/>
      <c r="AR172" s="1894"/>
      <c r="AS172" s="1894"/>
      <c r="AT172" s="1894"/>
      <c r="AU172" s="1894"/>
      <c r="AV172" s="1894"/>
      <c r="AW172" s="1894"/>
      <c r="AX172" s="1894"/>
      <c r="AY172" s="16128"/>
      <c r="AZ172" s="15973"/>
      <c r="BA172" s="16128"/>
      <c r="BB172" s="15973"/>
      <c r="BC172" s="1894"/>
      <c r="BD172" s="1894"/>
      <c r="BE172" s="1894"/>
      <c r="BF172" s="1894"/>
      <c r="BG172" s="1894"/>
      <c r="BH172" s="1894"/>
      <c r="BI172" s="1894"/>
      <c r="BJ172" s="16128"/>
      <c r="BK172" s="15973"/>
      <c r="BL172" s="16128"/>
      <c r="BM172" s="15973"/>
      <c r="BN172" s="1894"/>
      <c r="BO172" s="1894"/>
      <c r="BP172" s="1894"/>
      <c r="BQ172" s="1894"/>
      <c r="BR172" s="1894"/>
      <c r="BS172" s="1894"/>
      <c r="BT172" s="1894"/>
      <c r="BU172" s="16128"/>
      <c r="BV172" s="15973"/>
      <c r="BW172" s="16128"/>
      <c r="BX172" s="15973"/>
      <c r="BY172" s="1894"/>
      <c r="BZ172" s="1894"/>
      <c r="CA172" s="1894"/>
      <c r="CB172" s="1894"/>
      <c r="CC172" s="1894"/>
      <c r="CD172" s="1894"/>
      <c r="CE172" s="1894"/>
      <c r="CF172" s="16128"/>
      <c r="CG172" s="15973"/>
      <c r="CH172" s="16128"/>
      <c r="CI172" s="15973"/>
      <c r="CJ172" s="1894"/>
      <c r="CK172" s="1894"/>
      <c r="CL172" s="1894"/>
      <c r="CM172" s="1894"/>
      <c r="CN172" s="1894"/>
      <c r="CO172" s="1894"/>
      <c r="CP172" s="1894"/>
      <c r="CQ172" s="16128"/>
      <c r="CR172" s="15973"/>
      <c r="CS172" s="16128"/>
      <c r="CT172" s="15973"/>
      <c r="CU172" s="1894"/>
      <c r="CV172" s="1894"/>
      <c r="CW172" s="1894"/>
      <c r="CX172" s="1894"/>
      <c r="CY172" s="1894"/>
      <c r="CZ172" s="1894"/>
      <c r="DA172" s="1894"/>
      <c r="DB172" s="16128"/>
      <c r="DC172" s="15973"/>
      <c r="DD172" s="16128"/>
      <c r="DE172" s="15973"/>
      <c r="DF172" s="1894"/>
      <c r="DG172" s="1894"/>
      <c r="DH172" s="1894"/>
      <c r="DI172" s="1894"/>
      <c r="DJ172" s="1894"/>
      <c r="DK172" s="1894"/>
      <c r="DL172" s="1894"/>
      <c r="DM172" s="16128"/>
      <c r="DN172" s="15973"/>
      <c r="DO172" s="16128"/>
      <c r="DP172" s="15973"/>
      <c r="DQ172" s="1894"/>
      <c r="DR172" s="1894"/>
      <c r="DS172" s="1894"/>
      <c r="DT172" s="1894"/>
      <c r="DU172" s="1894"/>
      <c r="DV172" s="1894"/>
      <c r="DW172" s="1894"/>
      <c r="DX172" s="16128"/>
      <c r="DY172" s="15973"/>
      <c r="DZ172" s="16128"/>
      <c r="EA172" s="15973"/>
      <c r="EB172" s="1894"/>
      <c r="EC172" s="1894"/>
      <c r="ED172" s="1894"/>
      <c r="EE172" s="1894"/>
      <c r="EF172" s="1894"/>
      <c r="EG172" s="1894"/>
      <c r="EH172" s="1894"/>
      <c r="EI172" s="16128"/>
      <c r="EJ172" s="15973"/>
      <c r="EK172" s="16128"/>
      <c r="EL172" s="15973"/>
      <c r="EM172" s="14449"/>
      <c r="EN172" s="14449"/>
      <c r="EO172" s="14449"/>
      <c r="EP172" s="14449"/>
      <c r="EQ172" s="14449"/>
      <c r="ER172" s="14449"/>
      <c r="ES172" s="14449"/>
      <c r="ET172" s="16128"/>
      <c r="EU172" s="15973"/>
      <c r="EV172" s="16128"/>
      <c r="EW172" s="15973"/>
      <c r="EX172" s="2523"/>
      <c r="EY172" s="16182"/>
      <c r="EZ172" s="2199"/>
      <c r="FA172" s="2512"/>
      <c r="FB172" s="2512" t="str">
        <f t="shared" si="3"/>
        <v/>
      </c>
      <c r="FC172" s="2512"/>
      <c r="FD172" s="2512"/>
    </row>
    <row r="173" spans="1:160" s="15043" customFormat="1" ht="21" customHeight="1">
      <c r="A173" s="2502"/>
      <c r="B173" s="2502"/>
      <c r="C173" s="2502"/>
      <c r="D173" s="2502"/>
      <c r="E173" s="16125"/>
      <c r="F173" s="16125"/>
      <c r="G173" s="16125">
        <v>1</v>
      </c>
      <c r="H173" s="16125"/>
      <c r="I173" s="16145"/>
      <c r="J173" s="16122"/>
      <c r="K173" s="2502"/>
      <c r="L173" s="2503"/>
      <c r="M173" s="2513"/>
      <c r="N173" s="2513"/>
      <c r="O173" s="2513"/>
      <c r="P173" s="16123"/>
      <c r="Q173" s="16123"/>
      <c r="R173" s="2515"/>
      <c r="S173" s="7062"/>
      <c r="T173" s="7063" t="s">
        <v>621</v>
      </c>
      <c r="U173" s="7064"/>
      <c r="V173" s="7065"/>
      <c r="W173" s="7066"/>
      <c r="X173" s="7067"/>
      <c r="Y173" s="7068"/>
      <c r="Z173" s="7069"/>
      <c r="AA173" s="7070"/>
      <c r="AB173" s="7071"/>
      <c r="AC173" s="7072"/>
      <c r="AD173" s="7073"/>
      <c r="AE173" s="7074"/>
      <c r="AF173" s="7075"/>
      <c r="AG173" s="7076"/>
      <c r="AH173" s="7077"/>
      <c r="AI173" s="7078"/>
      <c r="AJ173" s="7079"/>
      <c r="AK173" s="7080"/>
      <c r="AL173" s="7081"/>
      <c r="AM173" s="7082"/>
      <c r="AN173" s="7083"/>
      <c r="AO173" s="7084"/>
      <c r="AP173" s="7085"/>
      <c r="AQ173" s="7086"/>
      <c r="AR173" s="7087"/>
      <c r="AS173" s="7088"/>
      <c r="AT173" s="7089"/>
      <c r="AU173" s="7090"/>
      <c r="AV173" s="7091"/>
      <c r="AW173" s="7092"/>
      <c r="AX173" s="7093"/>
      <c r="AY173" s="7094"/>
      <c r="AZ173" s="7095"/>
      <c r="BA173" s="7096"/>
      <c r="BB173" s="7097"/>
      <c r="BC173" s="7098"/>
      <c r="BD173" s="7099"/>
      <c r="BE173" s="7100"/>
      <c r="BF173" s="7101"/>
      <c r="BG173" s="7102"/>
      <c r="BH173" s="7103"/>
      <c r="BI173" s="7104"/>
      <c r="BJ173" s="7105"/>
      <c r="BK173" s="7106"/>
      <c r="BL173" s="7107"/>
      <c r="BM173" s="7108"/>
      <c r="BN173" s="7109"/>
      <c r="BO173" s="7110"/>
      <c r="BP173" s="7111"/>
      <c r="BQ173" s="7112"/>
      <c r="BR173" s="7113"/>
      <c r="BS173" s="7114"/>
      <c r="BT173" s="7115"/>
      <c r="BU173" s="7116"/>
      <c r="BV173" s="7117"/>
      <c r="BW173" s="7118"/>
      <c r="BX173" s="7119"/>
      <c r="BY173" s="7120"/>
      <c r="BZ173" s="7121"/>
      <c r="CA173" s="7122"/>
      <c r="CB173" s="7123"/>
      <c r="CC173" s="7124"/>
      <c r="CD173" s="7125"/>
      <c r="CE173" s="7126"/>
      <c r="CF173" s="7127"/>
      <c r="CG173" s="7128"/>
      <c r="CH173" s="7129"/>
      <c r="CI173" s="7130"/>
      <c r="CJ173" s="7131"/>
      <c r="CK173" s="7132"/>
      <c r="CL173" s="7133"/>
      <c r="CM173" s="7134"/>
      <c r="CN173" s="7135"/>
      <c r="CO173" s="7136"/>
      <c r="CP173" s="7137"/>
      <c r="CQ173" s="7138"/>
      <c r="CR173" s="7139"/>
      <c r="CS173" s="7140"/>
      <c r="CT173" s="7141"/>
      <c r="CU173" s="7142"/>
      <c r="CV173" s="7143"/>
      <c r="CW173" s="7144"/>
      <c r="CX173" s="7145"/>
      <c r="CY173" s="7146"/>
      <c r="CZ173" s="7147"/>
      <c r="DA173" s="7148"/>
      <c r="DB173" s="7149"/>
      <c r="DC173" s="7150"/>
      <c r="DD173" s="7151"/>
      <c r="DE173" s="7152"/>
      <c r="DF173" s="7153"/>
      <c r="DG173" s="7154"/>
      <c r="DH173" s="7155"/>
      <c r="DI173" s="7156"/>
      <c r="DJ173" s="7157"/>
      <c r="DK173" s="7158"/>
      <c r="DL173" s="7159"/>
      <c r="DM173" s="7160"/>
      <c r="DN173" s="7161"/>
      <c r="DO173" s="7162"/>
      <c r="DP173" s="7163"/>
      <c r="DQ173" s="7164"/>
      <c r="DR173" s="7165"/>
      <c r="DS173" s="7166"/>
      <c r="DT173" s="7167"/>
      <c r="DU173" s="7168"/>
      <c r="DV173" s="7169"/>
      <c r="DW173" s="7170"/>
      <c r="DX173" s="7171"/>
      <c r="DY173" s="7172"/>
      <c r="DZ173" s="7173"/>
      <c r="EA173" s="7174"/>
      <c r="EB173" s="7175"/>
      <c r="EC173" s="7176"/>
      <c r="ED173" s="7177"/>
      <c r="EE173" s="7178"/>
      <c r="EF173" s="7179"/>
      <c r="EG173" s="7180"/>
      <c r="EH173" s="7181"/>
      <c r="EI173" s="7182"/>
      <c r="EJ173" s="7183"/>
      <c r="EK173" s="7184"/>
      <c r="EL173" s="7185"/>
      <c r="EM173" s="15044"/>
      <c r="EN173" s="15045"/>
      <c r="EO173" s="15046"/>
      <c r="EP173" s="15047"/>
      <c r="EQ173" s="15048"/>
      <c r="ER173" s="15049"/>
      <c r="ES173" s="15050"/>
      <c r="ET173" s="15051"/>
      <c r="EU173" s="15052"/>
      <c r="EV173" s="15053"/>
      <c r="EW173" s="15054"/>
      <c r="EX173" s="7186"/>
      <c r="EY173" s="2511" t="s">
        <v>622</v>
      </c>
      <c r="EZ173" s="2199"/>
      <c r="FA173" s="2512"/>
      <c r="FB173" s="2512" t="str">
        <f t="shared" si="3"/>
        <v>Добавить значение признака дифференциации</v>
      </c>
      <c r="FC173" s="2512"/>
      <c r="FD173" s="2512"/>
    </row>
    <row r="174" spans="1:160" s="15055" customFormat="1" ht="21" customHeight="1">
      <c r="A174" s="2502"/>
      <c r="B174" s="2502"/>
      <c r="C174" s="2502"/>
      <c r="D174" s="2502"/>
      <c r="E174" s="16125"/>
      <c r="F174" s="16125"/>
      <c r="G174" s="16125">
        <v>1</v>
      </c>
      <c r="H174" s="16125"/>
      <c r="I174" s="16122"/>
      <c r="J174" s="2502"/>
      <c r="K174" s="2502"/>
      <c r="L174" s="2503"/>
      <c r="M174" s="2513"/>
      <c r="N174" s="2513"/>
      <c r="O174" s="2513"/>
      <c r="P174" s="16123"/>
      <c r="Q174" s="2514"/>
      <c r="R174" s="2515"/>
      <c r="S174" s="7187"/>
      <c r="T174" s="7188" t="s">
        <v>549</v>
      </c>
      <c r="U174" s="7189"/>
      <c r="V174" s="7190"/>
      <c r="W174" s="7191"/>
      <c r="X174" s="7192"/>
      <c r="Y174" s="7193"/>
      <c r="Z174" s="7194"/>
      <c r="AA174" s="7195"/>
      <c r="AB174" s="7196"/>
      <c r="AC174" s="7197"/>
      <c r="AD174" s="7198"/>
      <c r="AE174" s="7199"/>
      <c r="AF174" s="7200"/>
      <c r="AG174" s="7201"/>
      <c r="AH174" s="7202"/>
      <c r="AI174" s="7203"/>
      <c r="AJ174" s="7204"/>
      <c r="AK174" s="7205"/>
      <c r="AL174" s="7206"/>
      <c r="AM174" s="7207"/>
      <c r="AN174" s="7208"/>
      <c r="AO174" s="7209"/>
      <c r="AP174" s="7210"/>
      <c r="AQ174" s="7211"/>
      <c r="AR174" s="7212"/>
      <c r="AS174" s="7213"/>
      <c r="AT174" s="7214"/>
      <c r="AU174" s="7215"/>
      <c r="AV174" s="7216"/>
      <c r="AW174" s="7217"/>
      <c r="AX174" s="7218"/>
      <c r="AY174" s="7219"/>
      <c r="AZ174" s="7220"/>
      <c r="BA174" s="7221"/>
      <c r="BB174" s="7222"/>
      <c r="BC174" s="7223"/>
      <c r="BD174" s="7224"/>
      <c r="BE174" s="7225"/>
      <c r="BF174" s="7226"/>
      <c r="BG174" s="7227"/>
      <c r="BH174" s="7228"/>
      <c r="BI174" s="7229"/>
      <c r="BJ174" s="7230"/>
      <c r="BK174" s="7231"/>
      <c r="BL174" s="7232"/>
      <c r="BM174" s="7233"/>
      <c r="BN174" s="7234"/>
      <c r="BO174" s="7235"/>
      <c r="BP174" s="7236"/>
      <c r="BQ174" s="7237"/>
      <c r="BR174" s="7238"/>
      <c r="BS174" s="7239"/>
      <c r="BT174" s="7240"/>
      <c r="BU174" s="7241"/>
      <c r="BV174" s="7242"/>
      <c r="BW174" s="7243"/>
      <c r="BX174" s="7244"/>
      <c r="BY174" s="7245"/>
      <c r="BZ174" s="7246"/>
      <c r="CA174" s="7247"/>
      <c r="CB174" s="7248"/>
      <c r="CC174" s="7249"/>
      <c r="CD174" s="7250"/>
      <c r="CE174" s="7251"/>
      <c r="CF174" s="7252"/>
      <c r="CG174" s="7253"/>
      <c r="CH174" s="7254"/>
      <c r="CI174" s="7255"/>
      <c r="CJ174" s="7256"/>
      <c r="CK174" s="7257"/>
      <c r="CL174" s="7258"/>
      <c r="CM174" s="7259"/>
      <c r="CN174" s="7260"/>
      <c r="CO174" s="7261"/>
      <c r="CP174" s="7262"/>
      <c r="CQ174" s="7263"/>
      <c r="CR174" s="7264"/>
      <c r="CS174" s="7265"/>
      <c r="CT174" s="7266"/>
      <c r="CU174" s="7267"/>
      <c r="CV174" s="7268"/>
      <c r="CW174" s="7269"/>
      <c r="CX174" s="7270"/>
      <c r="CY174" s="7271"/>
      <c r="CZ174" s="7272"/>
      <c r="DA174" s="7273"/>
      <c r="DB174" s="7274"/>
      <c r="DC174" s="7275"/>
      <c r="DD174" s="7276"/>
      <c r="DE174" s="7277"/>
      <c r="DF174" s="7278"/>
      <c r="DG174" s="7279"/>
      <c r="DH174" s="7280"/>
      <c r="DI174" s="7281"/>
      <c r="DJ174" s="7282"/>
      <c r="DK174" s="7283"/>
      <c r="DL174" s="7284"/>
      <c r="DM174" s="7285"/>
      <c r="DN174" s="7286"/>
      <c r="DO174" s="7287"/>
      <c r="DP174" s="7288"/>
      <c r="DQ174" s="7289"/>
      <c r="DR174" s="7290"/>
      <c r="DS174" s="7291"/>
      <c r="DT174" s="7292"/>
      <c r="DU174" s="7293"/>
      <c r="DV174" s="7294"/>
      <c r="DW174" s="7295"/>
      <c r="DX174" s="7296"/>
      <c r="DY174" s="7297"/>
      <c r="DZ174" s="7298"/>
      <c r="EA174" s="7299"/>
      <c r="EB174" s="7300"/>
      <c r="EC174" s="7301"/>
      <c r="ED174" s="7302"/>
      <c r="EE174" s="7303"/>
      <c r="EF174" s="7304"/>
      <c r="EG174" s="7305"/>
      <c r="EH174" s="7306"/>
      <c r="EI174" s="7307"/>
      <c r="EJ174" s="7308"/>
      <c r="EK174" s="7309"/>
      <c r="EL174" s="7310"/>
      <c r="EM174" s="15056"/>
      <c r="EN174" s="15057"/>
      <c r="EO174" s="15058"/>
      <c r="EP174" s="15059"/>
      <c r="EQ174" s="15060"/>
      <c r="ER174" s="15061"/>
      <c r="ES174" s="15062"/>
      <c r="ET174" s="15063"/>
      <c r="EU174" s="15064"/>
      <c r="EV174" s="15065"/>
      <c r="EW174" s="15066"/>
      <c r="EX174" s="7311"/>
      <c r="EY174" s="7312"/>
      <c r="EZ174" s="2199"/>
      <c r="FA174" s="2512"/>
      <c r="FB174" s="2512" t="str">
        <f t="shared" si="3"/>
        <v>Добавить группу потребителей</v>
      </c>
      <c r="FC174" s="2512"/>
      <c r="FD174" s="2512"/>
    </row>
    <row r="175" spans="1:160" s="15067" customFormat="1" ht="21" customHeight="1">
      <c r="A175" s="2502"/>
      <c r="B175" s="2502"/>
      <c r="C175" s="2502"/>
      <c r="D175" s="2502"/>
      <c r="E175" s="16125"/>
      <c r="F175" s="16125"/>
      <c r="G175" s="16125">
        <v>1</v>
      </c>
      <c r="H175" s="16124"/>
      <c r="I175" s="2502"/>
      <c r="J175" s="2502"/>
      <c r="K175" s="2502"/>
      <c r="L175" s="2503"/>
      <c r="M175" s="2504"/>
      <c r="N175" s="2504"/>
      <c r="O175" s="2193"/>
      <c r="P175" s="2775"/>
      <c r="Q175" s="2776"/>
      <c r="R175" s="2777"/>
      <c r="S175" s="7313"/>
      <c r="T175" s="7314" t="s">
        <v>623</v>
      </c>
      <c r="U175" s="7315"/>
      <c r="V175" s="7316"/>
      <c r="W175" s="7317"/>
      <c r="X175" s="7318"/>
      <c r="Y175" s="7319"/>
      <c r="Z175" s="7320"/>
      <c r="AA175" s="7321"/>
      <c r="AB175" s="7322"/>
      <c r="AC175" s="7323"/>
      <c r="AD175" s="7324"/>
      <c r="AE175" s="7325"/>
      <c r="AF175" s="7326"/>
      <c r="AG175" s="7327"/>
      <c r="AH175" s="7328"/>
      <c r="AI175" s="7329"/>
      <c r="AJ175" s="7330"/>
      <c r="AK175" s="7331"/>
      <c r="AL175" s="7332"/>
      <c r="AM175" s="7333"/>
      <c r="AN175" s="7334"/>
      <c r="AO175" s="7335"/>
      <c r="AP175" s="7336"/>
      <c r="AQ175" s="7337"/>
      <c r="AR175" s="7338"/>
      <c r="AS175" s="7339"/>
      <c r="AT175" s="7340"/>
      <c r="AU175" s="7341"/>
      <c r="AV175" s="7342"/>
      <c r="AW175" s="7343"/>
      <c r="AX175" s="7344"/>
      <c r="AY175" s="7345"/>
      <c r="AZ175" s="7346"/>
      <c r="BA175" s="7347"/>
      <c r="BB175" s="7348"/>
      <c r="BC175" s="7349"/>
      <c r="BD175" s="7350"/>
      <c r="BE175" s="7351"/>
      <c r="BF175" s="7352"/>
      <c r="BG175" s="7353"/>
      <c r="BH175" s="7354"/>
      <c r="BI175" s="7355"/>
      <c r="BJ175" s="7356"/>
      <c r="BK175" s="7357"/>
      <c r="BL175" s="7358"/>
      <c r="BM175" s="7359"/>
      <c r="BN175" s="7360"/>
      <c r="BO175" s="7361"/>
      <c r="BP175" s="7362"/>
      <c r="BQ175" s="7363"/>
      <c r="BR175" s="7364"/>
      <c r="BS175" s="7365"/>
      <c r="BT175" s="7366"/>
      <c r="BU175" s="7367"/>
      <c r="BV175" s="7368"/>
      <c r="BW175" s="7369"/>
      <c r="BX175" s="7370"/>
      <c r="BY175" s="7371"/>
      <c r="BZ175" s="7372"/>
      <c r="CA175" s="7373"/>
      <c r="CB175" s="7374"/>
      <c r="CC175" s="7375"/>
      <c r="CD175" s="7376"/>
      <c r="CE175" s="7377"/>
      <c r="CF175" s="7378"/>
      <c r="CG175" s="7379"/>
      <c r="CH175" s="7380"/>
      <c r="CI175" s="7381"/>
      <c r="CJ175" s="7382"/>
      <c r="CK175" s="7383"/>
      <c r="CL175" s="7384"/>
      <c r="CM175" s="7385"/>
      <c r="CN175" s="7386"/>
      <c r="CO175" s="7387"/>
      <c r="CP175" s="7388"/>
      <c r="CQ175" s="7389"/>
      <c r="CR175" s="7390"/>
      <c r="CS175" s="7391"/>
      <c r="CT175" s="7392"/>
      <c r="CU175" s="7393"/>
      <c r="CV175" s="7394"/>
      <c r="CW175" s="7395"/>
      <c r="CX175" s="7396"/>
      <c r="CY175" s="7397"/>
      <c r="CZ175" s="7398"/>
      <c r="DA175" s="7399"/>
      <c r="DB175" s="7400"/>
      <c r="DC175" s="7401"/>
      <c r="DD175" s="7402"/>
      <c r="DE175" s="7403"/>
      <c r="DF175" s="7404"/>
      <c r="DG175" s="7405"/>
      <c r="DH175" s="7406"/>
      <c r="DI175" s="7407"/>
      <c r="DJ175" s="7408"/>
      <c r="DK175" s="7409"/>
      <c r="DL175" s="7410"/>
      <c r="DM175" s="7411"/>
      <c r="DN175" s="7412"/>
      <c r="DO175" s="7413"/>
      <c r="DP175" s="7414"/>
      <c r="DQ175" s="7415"/>
      <c r="DR175" s="7416"/>
      <c r="DS175" s="7417"/>
      <c r="DT175" s="7418"/>
      <c r="DU175" s="7419"/>
      <c r="DV175" s="7420"/>
      <c r="DW175" s="7421"/>
      <c r="DX175" s="7422"/>
      <c r="DY175" s="7423"/>
      <c r="DZ175" s="7424"/>
      <c r="EA175" s="7425"/>
      <c r="EB175" s="7426"/>
      <c r="EC175" s="7427"/>
      <c r="ED175" s="7428"/>
      <c r="EE175" s="7429"/>
      <c r="EF175" s="7430"/>
      <c r="EG175" s="7431"/>
      <c r="EH175" s="7432"/>
      <c r="EI175" s="7433"/>
      <c r="EJ175" s="7434"/>
      <c r="EK175" s="7435"/>
      <c r="EL175" s="7436"/>
      <c r="EM175" s="15068"/>
      <c r="EN175" s="15069"/>
      <c r="EO175" s="15070"/>
      <c r="EP175" s="15071"/>
      <c r="EQ175" s="15072"/>
      <c r="ER175" s="15073"/>
      <c r="ES175" s="15074"/>
      <c r="ET175" s="15075"/>
      <c r="EU175" s="15076"/>
      <c r="EV175" s="15077"/>
      <c r="EW175" s="15078"/>
      <c r="EX175" s="7437"/>
      <c r="EY175" s="7438"/>
      <c r="EZ175" s="2199"/>
      <c r="FA175" s="2512"/>
      <c r="FB175" s="2512" t="str">
        <f t="shared" si="3"/>
        <v>Добавить наименование признака дифференциации</v>
      </c>
      <c r="FC175" s="2512"/>
      <c r="FD175" s="2512"/>
    </row>
    <row r="176" spans="1:160" s="15079" customFormat="1" ht="14.25" customHeight="1">
      <c r="A176" s="3283"/>
      <c r="B176" s="3283"/>
      <c r="C176" s="3283"/>
      <c r="D176" s="3283"/>
      <c r="E176" s="16125">
        <v>1</v>
      </c>
      <c r="F176" s="16124"/>
      <c r="G176" s="3283"/>
      <c r="H176" s="3283"/>
      <c r="I176" s="3283"/>
      <c r="J176" s="3283"/>
      <c r="K176" s="3283"/>
      <c r="L176" s="3284"/>
      <c r="M176" s="3285"/>
      <c r="N176" s="3285"/>
      <c r="O176" s="2199"/>
      <c r="P176" s="3286"/>
      <c r="Q176" s="3287"/>
      <c r="R176" s="3286"/>
      <c r="S176" s="3288"/>
      <c r="T176" s="3289" t="s">
        <v>290</v>
      </c>
      <c r="U176" s="2192"/>
      <c r="V176" s="2192"/>
      <c r="W176" s="2192"/>
      <c r="X176" s="2192"/>
      <c r="Y176" s="2192"/>
      <c r="Z176" s="2192"/>
      <c r="AA176" s="2192"/>
      <c r="AB176" s="2192"/>
      <c r="AC176" s="2192"/>
      <c r="AD176" s="2192"/>
      <c r="AE176" s="2192"/>
      <c r="AF176" s="2192"/>
      <c r="AG176" s="2192"/>
      <c r="AH176" s="2192"/>
      <c r="AI176" s="2192"/>
      <c r="AJ176" s="2192"/>
      <c r="AK176" s="2192"/>
      <c r="AL176" s="2192"/>
      <c r="AM176" s="2192"/>
      <c r="AN176" s="2192"/>
      <c r="AO176" s="2192"/>
      <c r="AP176" s="2192"/>
      <c r="AQ176" s="2192"/>
      <c r="AR176" s="2192"/>
      <c r="AS176" s="2192"/>
      <c r="AT176" s="2192"/>
      <c r="AU176" s="2192"/>
      <c r="AV176" s="2192"/>
      <c r="AW176" s="2192"/>
      <c r="AX176" s="2192"/>
      <c r="AY176" s="2192"/>
      <c r="AZ176" s="2192"/>
      <c r="BA176" s="2192"/>
      <c r="BB176" s="2192"/>
      <c r="BC176" s="2192"/>
      <c r="BD176" s="2192"/>
      <c r="BE176" s="2192"/>
      <c r="BF176" s="2192"/>
      <c r="BG176" s="2192"/>
      <c r="BH176" s="2192"/>
      <c r="BI176" s="2192"/>
      <c r="BJ176" s="2192"/>
      <c r="BK176" s="2192"/>
      <c r="BL176" s="2192"/>
      <c r="BM176" s="2192"/>
      <c r="BN176" s="2192"/>
      <c r="BO176" s="2192"/>
      <c r="BP176" s="2192"/>
      <c r="BQ176" s="2192"/>
      <c r="BR176" s="2192"/>
      <c r="BS176" s="2192"/>
      <c r="BT176" s="2192"/>
      <c r="BU176" s="2192"/>
      <c r="BV176" s="2192"/>
      <c r="BW176" s="2192"/>
      <c r="BX176" s="2192"/>
      <c r="BY176" s="2192"/>
      <c r="BZ176" s="2192"/>
      <c r="CA176" s="2192"/>
      <c r="CB176" s="2192"/>
      <c r="CC176" s="2192"/>
      <c r="CD176" s="2192"/>
      <c r="CE176" s="2192"/>
      <c r="CF176" s="2192"/>
      <c r="CG176" s="2192"/>
      <c r="CH176" s="2192"/>
      <c r="CI176" s="2192"/>
      <c r="CJ176" s="2192"/>
      <c r="CK176" s="2192"/>
      <c r="CL176" s="2192"/>
      <c r="CM176" s="2192"/>
      <c r="CN176" s="2192"/>
      <c r="CO176" s="2192"/>
      <c r="CP176" s="2192"/>
      <c r="CQ176" s="2192"/>
      <c r="CR176" s="2192"/>
      <c r="CS176" s="2192"/>
      <c r="CT176" s="2192"/>
      <c r="CU176" s="2192"/>
      <c r="CV176" s="2192"/>
      <c r="CW176" s="2192"/>
      <c r="CX176" s="2192"/>
      <c r="CY176" s="2192"/>
      <c r="CZ176" s="2192"/>
      <c r="DA176" s="2192"/>
      <c r="DB176" s="2192"/>
      <c r="DC176" s="2192"/>
      <c r="DD176" s="2192"/>
      <c r="DE176" s="2192"/>
      <c r="DF176" s="2192"/>
      <c r="DG176" s="2192"/>
      <c r="DH176" s="2192"/>
      <c r="DI176" s="2192"/>
      <c r="DJ176" s="2192"/>
      <c r="DK176" s="2192"/>
      <c r="DL176" s="2192"/>
      <c r="DM176" s="2192"/>
      <c r="DN176" s="2192"/>
      <c r="DO176" s="2192"/>
      <c r="DP176" s="2192"/>
      <c r="DQ176" s="2192"/>
      <c r="DR176" s="2192"/>
      <c r="DS176" s="2192"/>
      <c r="DT176" s="2192"/>
      <c r="DU176" s="2192"/>
      <c r="DV176" s="2192"/>
      <c r="DW176" s="2192"/>
      <c r="DX176" s="2192"/>
      <c r="DY176" s="2192"/>
      <c r="DZ176" s="2192"/>
      <c r="EA176" s="2192"/>
      <c r="EB176" s="2192"/>
      <c r="EC176" s="2192"/>
      <c r="ED176" s="2192"/>
      <c r="EE176" s="2192"/>
      <c r="EF176" s="2192"/>
      <c r="EG176" s="2192"/>
      <c r="EH176" s="2192"/>
      <c r="EI176" s="2192"/>
      <c r="EJ176" s="2192"/>
      <c r="EK176" s="2192"/>
      <c r="EL176" s="2192"/>
      <c r="EM176" s="14483"/>
      <c r="EN176" s="14483"/>
      <c r="EO176" s="14483"/>
      <c r="EP176" s="14483"/>
      <c r="EQ176" s="14483"/>
      <c r="ER176" s="14483"/>
      <c r="ES176" s="14483"/>
      <c r="ET176" s="14483"/>
      <c r="EU176" s="14483"/>
      <c r="EV176" s="14483"/>
      <c r="EW176" s="14483"/>
      <c r="EX176" s="2192"/>
      <c r="EY176" s="2192"/>
      <c r="EZ176" s="2199"/>
      <c r="FA176" s="2512"/>
      <c r="FB176" s="2512" t="str">
        <f t="shared" si="3"/>
        <v>Добавить централизованную систему для дифференциации</v>
      </c>
      <c r="FC176" s="2512"/>
      <c r="FD176" s="2512"/>
    </row>
    <row r="177" spans="1:160" s="15080" customFormat="1" ht="23.25" customHeight="1">
      <c r="A177" s="2502"/>
      <c r="B177" s="2502" t="s">
        <v>335</v>
      </c>
      <c r="C177" s="2502"/>
      <c r="D177" s="2502"/>
      <c r="E177" s="16125"/>
      <c r="F177" s="16124" t="s">
        <v>102</v>
      </c>
      <c r="G177" s="2502"/>
      <c r="H177" s="2502"/>
      <c r="I177" s="2502"/>
      <c r="J177" s="2502"/>
      <c r="K177" s="2502"/>
      <c r="L177" s="2503"/>
      <c r="M177" s="2504"/>
      <c r="N177" s="2504"/>
      <c r="O177" s="2504"/>
      <c r="P177" s="2904"/>
      <c r="Q177" s="2506"/>
      <c r="R177" s="2507"/>
      <c r="S177" s="2508" t="str">
        <f>INDEX(PT_DIFFERENTIATION_NUM_TER,MATCH(B177,PT_DIFFERENTIATION_TER_ID,0))</f>
        <v>2.2</v>
      </c>
      <c r="T177" s="2905" t="s">
        <v>534</v>
      </c>
      <c r="U177" s="2510"/>
      <c r="V177" s="16110"/>
      <c r="W177" s="16111"/>
      <c r="X177" s="16111"/>
      <c r="Y177" s="16111"/>
      <c r="Z177" s="16111"/>
      <c r="AA177" s="16111"/>
      <c r="AB177" s="16111"/>
      <c r="AC177" s="16111"/>
      <c r="AD177" s="16111"/>
      <c r="AE177" s="16111"/>
      <c r="AF177" s="16112"/>
      <c r="AG177" s="16110" t="str">
        <f>INDEX(PT_DIFFERENTIATION_TER,MATCH(B177,PT_DIFFERENTIATION_TER_ID,0))</f>
        <v>Территория 2</v>
      </c>
      <c r="AH177" s="16111"/>
      <c r="AI177" s="16111"/>
      <c r="AJ177" s="16111"/>
      <c r="AK177" s="16111"/>
      <c r="AL177" s="16111"/>
      <c r="AM177" s="16111"/>
      <c r="AN177" s="16111"/>
      <c r="AO177" s="16111"/>
      <c r="AP177" s="16111"/>
      <c r="AQ177" s="16111"/>
      <c r="AR177" s="16110"/>
      <c r="AS177" s="16111"/>
      <c r="AT177" s="16111"/>
      <c r="AU177" s="16111"/>
      <c r="AV177" s="16111"/>
      <c r="AW177" s="16111"/>
      <c r="AX177" s="16111"/>
      <c r="AY177" s="16111"/>
      <c r="AZ177" s="16111"/>
      <c r="BA177" s="16111"/>
      <c r="BB177" s="16112"/>
      <c r="BC177" s="16110"/>
      <c r="BD177" s="16111"/>
      <c r="BE177" s="16111"/>
      <c r="BF177" s="16111"/>
      <c r="BG177" s="16111"/>
      <c r="BH177" s="16111"/>
      <c r="BI177" s="16111"/>
      <c r="BJ177" s="16111"/>
      <c r="BK177" s="16111"/>
      <c r="BL177" s="16111"/>
      <c r="BM177" s="16112"/>
      <c r="BN177" s="16110"/>
      <c r="BO177" s="16111"/>
      <c r="BP177" s="16111"/>
      <c r="BQ177" s="16111"/>
      <c r="BR177" s="16111"/>
      <c r="BS177" s="16111"/>
      <c r="BT177" s="16111"/>
      <c r="BU177" s="16111"/>
      <c r="BV177" s="16111"/>
      <c r="BW177" s="16111"/>
      <c r="BX177" s="16112"/>
      <c r="BY177" s="16110"/>
      <c r="BZ177" s="16111"/>
      <c r="CA177" s="16111"/>
      <c r="CB177" s="16111"/>
      <c r="CC177" s="16111"/>
      <c r="CD177" s="16111"/>
      <c r="CE177" s="16111"/>
      <c r="CF177" s="16111"/>
      <c r="CG177" s="16111"/>
      <c r="CH177" s="16111"/>
      <c r="CI177" s="16112"/>
      <c r="CJ177" s="16110"/>
      <c r="CK177" s="16111"/>
      <c r="CL177" s="16111"/>
      <c r="CM177" s="16111"/>
      <c r="CN177" s="16111"/>
      <c r="CO177" s="16111"/>
      <c r="CP177" s="16111"/>
      <c r="CQ177" s="16111"/>
      <c r="CR177" s="16111"/>
      <c r="CS177" s="16111"/>
      <c r="CT177" s="16112"/>
      <c r="CU177" s="16110"/>
      <c r="CV177" s="16111"/>
      <c r="CW177" s="16111"/>
      <c r="CX177" s="16111"/>
      <c r="CY177" s="16111"/>
      <c r="CZ177" s="16111"/>
      <c r="DA177" s="16111"/>
      <c r="DB177" s="16111"/>
      <c r="DC177" s="16111"/>
      <c r="DD177" s="16111"/>
      <c r="DE177" s="16112"/>
      <c r="DF177" s="16110"/>
      <c r="DG177" s="16111"/>
      <c r="DH177" s="16111"/>
      <c r="DI177" s="16111"/>
      <c r="DJ177" s="16111"/>
      <c r="DK177" s="16111"/>
      <c r="DL177" s="16111"/>
      <c r="DM177" s="16111"/>
      <c r="DN177" s="16111"/>
      <c r="DO177" s="16111"/>
      <c r="DP177" s="16112"/>
      <c r="DQ177" s="16110"/>
      <c r="DR177" s="16111"/>
      <c r="DS177" s="16111"/>
      <c r="DT177" s="16111"/>
      <c r="DU177" s="16111"/>
      <c r="DV177" s="16111"/>
      <c r="DW177" s="16111"/>
      <c r="DX177" s="16111"/>
      <c r="DY177" s="16111"/>
      <c r="DZ177" s="16111"/>
      <c r="EA177" s="16112"/>
      <c r="EB177" s="16110"/>
      <c r="EC177" s="16111"/>
      <c r="ED177" s="16111"/>
      <c r="EE177" s="16111"/>
      <c r="EF177" s="16111"/>
      <c r="EG177" s="16111"/>
      <c r="EH177" s="16111"/>
      <c r="EI177" s="16111"/>
      <c r="EJ177" s="16111"/>
      <c r="EK177" s="16111"/>
      <c r="EL177" s="16112"/>
      <c r="EM177" s="16110"/>
      <c r="EN177" s="16111"/>
      <c r="EO177" s="16111"/>
      <c r="EP177" s="16111"/>
      <c r="EQ177" s="16111"/>
      <c r="ER177" s="16111"/>
      <c r="ES177" s="16111"/>
      <c r="ET177" s="16111"/>
      <c r="EU177" s="16111"/>
      <c r="EV177" s="16111"/>
      <c r="EW177" s="16112"/>
      <c r="EX177" s="16112"/>
      <c r="EY177" s="2511" t="s">
        <v>535</v>
      </c>
      <c r="EZ177" s="2199"/>
      <c r="FA177" s="2512"/>
      <c r="FB177" s="2512" t="str">
        <f t="shared" si="3"/>
        <v>Территория действия тарифа</v>
      </c>
      <c r="FC177" s="2512"/>
      <c r="FD177" s="2512"/>
    </row>
    <row r="178" spans="1:160" s="15081" customFormat="1" ht="23.25" customHeight="1">
      <c r="A178" s="2502"/>
      <c r="B178" s="2502"/>
      <c r="C178" s="2502" t="s">
        <v>336</v>
      </c>
      <c r="D178" s="2502"/>
      <c r="E178" s="16125"/>
      <c r="F178" s="16125">
        <v>1</v>
      </c>
      <c r="G178" s="16124">
        <v>1</v>
      </c>
      <c r="H178" s="2502"/>
      <c r="I178" s="2502"/>
      <c r="J178" s="2502"/>
      <c r="K178" s="2502"/>
      <c r="L178" s="2503"/>
      <c r="M178" s="2504"/>
      <c r="N178" s="2504"/>
      <c r="O178" s="2504"/>
      <c r="P178" s="2505"/>
      <c r="Q178" s="2506"/>
      <c r="R178" s="2507"/>
      <c r="S178" s="2508" t="str">
        <f>INDEX(PT_DIFFERENTIATION_NUM_CS,MATCH(C178,PT_DIFFERENTIATION_CS_ID,0))</f>
        <v>2.2.1</v>
      </c>
      <c r="T178" s="2509" t="s">
        <v>665</v>
      </c>
      <c r="U178" s="2510"/>
      <c r="V178" s="16110"/>
      <c r="W178" s="16111"/>
      <c r="X178" s="16111"/>
      <c r="Y178" s="16111"/>
      <c r="Z178" s="16111"/>
      <c r="AA178" s="16111"/>
      <c r="AB178" s="16111"/>
      <c r="AC178" s="16111"/>
      <c r="AD178" s="16111"/>
      <c r="AE178" s="16111"/>
      <c r="AF178" s="16112"/>
      <c r="AG178" s="16110" t="str">
        <f>INDEX(PT_DIFFERENTIATION_CS,MATCH(C178,PT_DIFFERENTIATION_CS_ID,0))</f>
        <v>без дифференциации</v>
      </c>
      <c r="AH178" s="16111"/>
      <c r="AI178" s="16111"/>
      <c r="AJ178" s="16111"/>
      <c r="AK178" s="16111"/>
      <c r="AL178" s="16111"/>
      <c r="AM178" s="16111"/>
      <c r="AN178" s="16111"/>
      <c r="AO178" s="16111"/>
      <c r="AP178" s="16111"/>
      <c r="AQ178" s="16111"/>
      <c r="AR178" s="16110"/>
      <c r="AS178" s="16111"/>
      <c r="AT178" s="16111"/>
      <c r="AU178" s="16111"/>
      <c r="AV178" s="16111"/>
      <c r="AW178" s="16111"/>
      <c r="AX178" s="16111"/>
      <c r="AY178" s="16111"/>
      <c r="AZ178" s="16111"/>
      <c r="BA178" s="16111"/>
      <c r="BB178" s="16112"/>
      <c r="BC178" s="16110"/>
      <c r="BD178" s="16111"/>
      <c r="BE178" s="16111"/>
      <c r="BF178" s="16111"/>
      <c r="BG178" s="16111"/>
      <c r="BH178" s="16111"/>
      <c r="BI178" s="16111"/>
      <c r="BJ178" s="16111"/>
      <c r="BK178" s="16111"/>
      <c r="BL178" s="16111"/>
      <c r="BM178" s="16112"/>
      <c r="BN178" s="16110"/>
      <c r="BO178" s="16111"/>
      <c r="BP178" s="16111"/>
      <c r="BQ178" s="16111"/>
      <c r="BR178" s="16111"/>
      <c r="BS178" s="16111"/>
      <c r="BT178" s="16111"/>
      <c r="BU178" s="16111"/>
      <c r="BV178" s="16111"/>
      <c r="BW178" s="16111"/>
      <c r="BX178" s="16112"/>
      <c r="BY178" s="16110"/>
      <c r="BZ178" s="16111"/>
      <c r="CA178" s="16111"/>
      <c r="CB178" s="16111"/>
      <c r="CC178" s="16111"/>
      <c r="CD178" s="16111"/>
      <c r="CE178" s="16111"/>
      <c r="CF178" s="16111"/>
      <c r="CG178" s="16111"/>
      <c r="CH178" s="16111"/>
      <c r="CI178" s="16112"/>
      <c r="CJ178" s="16110"/>
      <c r="CK178" s="16111"/>
      <c r="CL178" s="16111"/>
      <c r="CM178" s="16111"/>
      <c r="CN178" s="16111"/>
      <c r="CO178" s="16111"/>
      <c r="CP178" s="16111"/>
      <c r="CQ178" s="16111"/>
      <c r="CR178" s="16111"/>
      <c r="CS178" s="16111"/>
      <c r="CT178" s="16112"/>
      <c r="CU178" s="16110"/>
      <c r="CV178" s="16111"/>
      <c r="CW178" s="16111"/>
      <c r="CX178" s="16111"/>
      <c r="CY178" s="16111"/>
      <c r="CZ178" s="16111"/>
      <c r="DA178" s="16111"/>
      <c r="DB178" s="16111"/>
      <c r="DC178" s="16111"/>
      <c r="DD178" s="16111"/>
      <c r="DE178" s="16112"/>
      <c r="DF178" s="16110"/>
      <c r="DG178" s="16111"/>
      <c r="DH178" s="16111"/>
      <c r="DI178" s="16111"/>
      <c r="DJ178" s="16111"/>
      <c r="DK178" s="16111"/>
      <c r="DL178" s="16111"/>
      <c r="DM178" s="16111"/>
      <c r="DN178" s="16111"/>
      <c r="DO178" s="16111"/>
      <c r="DP178" s="16112"/>
      <c r="DQ178" s="16110"/>
      <c r="DR178" s="16111"/>
      <c r="DS178" s="16111"/>
      <c r="DT178" s="16111"/>
      <c r="DU178" s="16111"/>
      <c r="DV178" s="16111"/>
      <c r="DW178" s="16111"/>
      <c r="DX178" s="16111"/>
      <c r="DY178" s="16111"/>
      <c r="DZ178" s="16111"/>
      <c r="EA178" s="16112"/>
      <c r="EB178" s="16110"/>
      <c r="EC178" s="16111"/>
      <c r="ED178" s="16111"/>
      <c r="EE178" s="16111"/>
      <c r="EF178" s="16111"/>
      <c r="EG178" s="16111"/>
      <c r="EH178" s="16111"/>
      <c r="EI178" s="16111"/>
      <c r="EJ178" s="16111"/>
      <c r="EK178" s="16111"/>
      <c r="EL178" s="16112"/>
      <c r="EM178" s="16110"/>
      <c r="EN178" s="16111"/>
      <c r="EO178" s="16111"/>
      <c r="EP178" s="16111"/>
      <c r="EQ178" s="16111"/>
      <c r="ER178" s="16111"/>
      <c r="ES178" s="16111"/>
      <c r="ET178" s="16111"/>
      <c r="EU178" s="16111"/>
      <c r="EV178" s="16111"/>
      <c r="EW178" s="16112"/>
      <c r="EX178" s="16112"/>
      <c r="EY178" s="2511" t="s">
        <v>666</v>
      </c>
      <c r="EZ178" s="2199"/>
      <c r="FA178" s="2512"/>
      <c r="FB178" s="2512" t="str">
        <f t="shared" si="3"/>
        <v>Наименование централизованной системы горячего водоснабжения</v>
      </c>
      <c r="FC178" s="2512"/>
      <c r="FD178" s="2512"/>
    </row>
    <row r="179" spans="1:160" s="15082" customFormat="1" ht="23.25" customHeight="1">
      <c r="A179" s="2502"/>
      <c r="B179" s="2502"/>
      <c r="C179" s="2502"/>
      <c r="D179" s="2502"/>
      <c r="E179" s="16125"/>
      <c r="F179" s="16125">
        <v>1</v>
      </c>
      <c r="G179" s="16125"/>
      <c r="H179" s="16125"/>
      <c r="I179" s="16122" t="str">
        <f>S178&amp;".1"</f>
        <v>2.2.1.1</v>
      </c>
      <c r="J179" s="2502"/>
      <c r="K179" s="2502"/>
      <c r="L179" s="2503"/>
      <c r="M179" s="2513"/>
      <c r="N179" s="2513"/>
      <c r="O179" s="2513"/>
      <c r="P179" s="16123">
        <v>1</v>
      </c>
      <c r="Q179" s="2514"/>
      <c r="R179" s="2515"/>
      <c r="S179" s="2508" t="str">
        <f>$I179</f>
        <v>2.2.1.1</v>
      </c>
      <c r="T179" s="2516" t="s">
        <v>618</v>
      </c>
      <c r="U179" s="2510"/>
      <c r="V179" s="16183"/>
      <c r="W179" s="16184"/>
      <c r="X179" s="16184"/>
      <c r="Y179" s="16184"/>
      <c r="Z179" s="16184"/>
      <c r="AA179" s="16184"/>
      <c r="AB179" s="16184"/>
      <c r="AC179" s="16184"/>
      <c r="AD179" s="16184"/>
      <c r="AE179" s="16184"/>
      <c r="AF179" s="16185"/>
      <c r="AG179" s="16186"/>
      <c r="AH179" s="16187"/>
      <c r="AI179" s="16187"/>
      <c r="AJ179" s="16187"/>
      <c r="AK179" s="16187"/>
      <c r="AL179" s="16187"/>
      <c r="AM179" s="16187"/>
      <c r="AN179" s="16187"/>
      <c r="AO179" s="16187"/>
      <c r="AP179" s="16187"/>
      <c r="AQ179" s="16187"/>
      <c r="AR179" s="16183"/>
      <c r="AS179" s="16184"/>
      <c r="AT179" s="16184"/>
      <c r="AU179" s="16184"/>
      <c r="AV179" s="16184"/>
      <c r="AW179" s="16184"/>
      <c r="AX179" s="16184"/>
      <c r="AY179" s="16184"/>
      <c r="AZ179" s="16184"/>
      <c r="BA179" s="16184"/>
      <c r="BB179" s="16185"/>
      <c r="BC179" s="16183"/>
      <c r="BD179" s="16184"/>
      <c r="BE179" s="16184"/>
      <c r="BF179" s="16184"/>
      <c r="BG179" s="16184"/>
      <c r="BH179" s="16184"/>
      <c r="BI179" s="16184"/>
      <c r="BJ179" s="16184"/>
      <c r="BK179" s="16184"/>
      <c r="BL179" s="16184"/>
      <c r="BM179" s="16185"/>
      <c r="BN179" s="16183"/>
      <c r="BO179" s="16184"/>
      <c r="BP179" s="16184"/>
      <c r="BQ179" s="16184"/>
      <c r="BR179" s="16184"/>
      <c r="BS179" s="16184"/>
      <c r="BT179" s="16184"/>
      <c r="BU179" s="16184"/>
      <c r="BV179" s="16184"/>
      <c r="BW179" s="16184"/>
      <c r="BX179" s="16185"/>
      <c r="BY179" s="16183"/>
      <c r="BZ179" s="16184"/>
      <c r="CA179" s="16184"/>
      <c r="CB179" s="16184"/>
      <c r="CC179" s="16184"/>
      <c r="CD179" s="16184"/>
      <c r="CE179" s="16184"/>
      <c r="CF179" s="16184"/>
      <c r="CG179" s="16184"/>
      <c r="CH179" s="16184"/>
      <c r="CI179" s="16185"/>
      <c r="CJ179" s="16183"/>
      <c r="CK179" s="16184"/>
      <c r="CL179" s="16184"/>
      <c r="CM179" s="16184"/>
      <c r="CN179" s="16184"/>
      <c r="CO179" s="16184"/>
      <c r="CP179" s="16184"/>
      <c r="CQ179" s="16184"/>
      <c r="CR179" s="16184"/>
      <c r="CS179" s="16184"/>
      <c r="CT179" s="16185"/>
      <c r="CU179" s="16183"/>
      <c r="CV179" s="16184"/>
      <c r="CW179" s="16184"/>
      <c r="CX179" s="16184"/>
      <c r="CY179" s="16184"/>
      <c r="CZ179" s="16184"/>
      <c r="DA179" s="16184"/>
      <c r="DB179" s="16184"/>
      <c r="DC179" s="16184"/>
      <c r="DD179" s="16184"/>
      <c r="DE179" s="16185"/>
      <c r="DF179" s="16183"/>
      <c r="DG179" s="16184"/>
      <c r="DH179" s="16184"/>
      <c r="DI179" s="16184"/>
      <c r="DJ179" s="16184"/>
      <c r="DK179" s="16184"/>
      <c r="DL179" s="16184"/>
      <c r="DM179" s="16184"/>
      <c r="DN179" s="16184"/>
      <c r="DO179" s="16184"/>
      <c r="DP179" s="16185"/>
      <c r="DQ179" s="16183"/>
      <c r="DR179" s="16184"/>
      <c r="DS179" s="16184"/>
      <c r="DT179" s="16184"/>
      <c r="DU179" s="16184"/>
      <c r="DV179" s="16184"/>
      <c r="DW179" s="16184"/>
      <c r="DX179" s="16184"/>
      <c r="DY179" s="16184"/>
      <c r="DZ179" s="16184"/>
      <c r="EA179" s="16185"/>
      <c r="EB179" s="16183"/>
      <c r="EC179" s="16184"/>
      <c r="ED179" s="16184"/>
      <c r="EE179" s="16184"/>
      <c r="EF179" s="16184"/>
      <c r="EG179" s="16184"/>
      <c r="EH179" s="16184"/>
      <c r="EI179" s="16184"/>
      <c r="EJ179" s="16184"/>
      <c r="EK179" s="16184"/>
      <c r="EL179" s="16185"/>
      <c r="EM179" s="16183"/>
      <c r="EN179" s="16184"/>
      <c r="EO179" s="16184"/>
      <c r="EP179" s="16184"/>
      <c r="EQ179" s="16184"/>
      <c r="ER179" s="16184"/>
      <c r="ES179" s="16184"/>
      <c r="ET179" s="16184"/>
      <c r="EU179" s="16184"/>
      <c r="EV179" s="16184"/>
      <c r="EW179" s="16185"/>
      <c r="EX179" s="16188"/>
      <c r="EY179" s="2511" t="s">
        <v>619</v>
      </c>
      <c r="EZ179" s="2199"/>
      <c r="FA179" s="2512"/>
      <c r="FB179" s="2512" t="str">
        <f t="shared" si="3"/>
        <v>Наименование признака дифференциации</v>
      </c>
      <c r="FC179" s="2512"/>
      <c r="FD179" s="2512"/>
    </row>
    <row r="180" spans="1:160" s="15083" customFormat="1" ht="23.25" customHeight="1">
      <c r="A180" s="2502"/>
      <c r="B180" s="2502"/>
      <c r="C180" s="2502"/>
      <c r="D180" s="2502"/>
      <c r="E180" s="16125"/>
      <c r="F180" s="16125">
        <v>1</v>
      </c>
      <c r="G180" s="16125"/>
      <c r="H180" s="16125"/>
      <c r="I180" s="16145"/>
      <c r="J180" s="16122" t="str">
        <f>I179&amp;".1"</f>
        <v>2.2.1.1.1</v>
      </c>
      <c r="K180" s="2502"/>
      <c r="L180" s="2503" t="s">
        <v>543</v>
      </c>
      <c r="M180" s="2513"/>
      <c r="N180" s="2513"/>
      <c r="O180" s="2513"/>
      <c r="P180" s="16123"/>
      <c r="Q180" s="16123">
        <v>1</v>
      </c>
      <c r="R180" s="2517"/>
      <c r="S180" s="2508" t="str">
        <f>$J180</f>
        <v>2.2.1.1.1</v>
      </c>
      <c r="T180" s="2518" t="s">
        <v>544</v>
      </c>
      <c r="U180" s="2510"/>
      <c r="V180" s="16113"/>
      <c r="W180" s="16114"/>
      <c r="X180" s="16114"/>
      <c r="Y180" s="16114"/>
      <c r="Z180" s="16114"/>
      <c r="AA180" s="16114"/>
      <c r="AB180" s="16114"/>
      <c r="AC180" s="16114"/>
      <c r="AD180" s="16114"/>
      <c r="AE180" s="16114"/>
      <c r="AF180" s="16115"/>
      <c r="AG180" s="16113" t="s">
        <v>679</v>
      </c>
      <c r="AH180" s="16114"/>
      <c r="AI180" s="16114"/>
      <c r="AJ180" s="16114"/>
      <c r="AK180" s="16114"/>
      <c r="AL180" s="16114"/>
      <c r="AM180" s="16114"/>
      <c r="AN180" s="16114"/>
      <c r="AO180" s="16114"/>
      <c r="AP180" s="16114"/>
      <c r="AQ180" s="16114"/>
      <c r="AR180" s="16113"/>
      <c r="AS180" s="16114"/>
      <c r="AT180" s="16114"/>
      <c r="AU180" s="16114"/>
      <c r="AV180" s="16114"/>
      <c r="AW180" s="16114"/>
      <c r="AX180" s="16114"/>
      <c r="AY180" s="16114"/>
      <c r="AZ180" s="16114"/>
      <c r="BA180" s="16114"/>
      <c r="BB180" s="16115"/>
      <c r="BC180" s="16113"/>
      <c r="BD180" s="16114"/>
      <c r="BE180" s="16114"/>
      <c r="BF180" s="16114"/>
      <c r="BG180" s="16114"/>
      <c r="BH180" s="16114"/>
      <c r="BI180" s="16114"/>
      <c r="BJ180" s="16114"/>
      <c r="BK180" s="16114"/>
      <c r="BL180" s="16114"/>
      <c r="BM180" s="16115"/>
      <c r="BN180" s="16113"/>
      <c r="BO180" s="16114"/>
      <c r="BP180" s="16114"/>
      <c r="BQ180" s="16114"/>
      <c r="BR180" s="16114"/>
      <c r="BS180" s="16114"/>
      <c r="BT180" s="16114"/>
      <c r="BU180" s="16114"/>
      <c r="BV180" s="16114"/>
      <c r="BW180" s="16114"/>
      <c r="BX180" s="16115"/>
      <c r="BY180" s="16113"/>
      <c r="BZ180" s="16114"/>
      <c r="CA180" s="16114"/>
      <c r="CB180" s="16114"/>
      <c r="CC180" s="16114"/>
      <c r="CD180" s="16114"/>
      <c r="CE180" s="16114"/>
      <c r="CF180" s="16114"/>
      <c r="CG180" s="16114"/>
      <c r="CH180" s="16114"/>
      <c r="CI180" s="16115"/>
      <c r="CJ180" s="16113"/>
      <c r="CK180" s="16114"/>
      <c r="CL180" s="16114"/>
      <c r="CM180" s="16114"/>
      <c r="CN180" s="16114"/>
      <c r="CO180" s="16114"/>
      <c r="CP180" s="16114"/>
      <c r="CQ180" s="16114"/>
      <c r="CR180" s="16114"/>
      <c r="CS180" s="16114"/>
      <c r="CT180" s="16115"/>
      <c r="CU180" s="16113"/>
      <c r="CV180" s="16114"/>
      <c r="CW180" s="16114"/>
      <c r="CX180" s="16114"/>
      <c r="CY180" s="16114"/>
      <c r="CZ180" s="16114"/>
      <c r="DA180" s="16114"/>
      <c r="DB180" s="16114"/>
      <c r="DC180" s="16114"/>
      <c r="DD180" s="16114"/>
      <c r="DE180" s="16115"/>
      <c r="DF180" s="16113"/>
      <c r="DG180" s="16114"/>
      <c r="DH180" s="16114"/>
      <c r="DI180" s="16114"/>
      <c r="DJ180" s="16114"/>
      <c r="DK180" s="16114"/>
      <c r="DL180" s="16114"/>
      <c r="DM180" s="16114"/>
      <c r="DN180" s="16114"/>
      <c r="DO180" s="16114"/>
      <c r="DP180" s="16115"/>
      <c r="DQ180" s="16113"/>
      <c r="DR180" s="16114"/>
      <c r="DS180" s="16114"/>
      <c r="DT180" s="16114"/>
      <c r="DU180" s="16114"/>
      <c r="DV180" s="16114"/>
      <c r="DW180" s="16114"/>
      <c r="DX180" s="16114"/>
      <c r="DY180" s="16114"/>
      <c r="DZ180" s="16114"/>
      <c r="EA180" s="16115"/>
      <c r="EB180" s="16113"/>
      <c r="EC180" s="16114"/>
      <c r="ED180" s="16114"/>
      <c r="EE180" s="16114"/>
      <c r="EF180" s="16114"/>
      <c r="EG180" s="16114"/>
      <c r="EH180" s="16114"/>
      <c r="EI180" s="16114"/>
      <c r="EJ180" s="16114"/>
      <c r="EK180" s="16114"/>
      <c r="EL180" s="16115"/>
      <c r="EM180" s="16113"/>
      <c r="EN180" s="16114"/>
      <c r="EO180" s="16114"/>
      <c r="EP180" s="16114"/>
      <c r="EQ180" s="16114"/>
      <c r="ER180" s="16114"/>
      <c r="ES180" s="16114"/>
      <c r="ET180" s="16114"/>
      <c r="EU180" s="16114"/>
      <c r="EV180" s="16114"/>
      <c r="EW180" s="16115"/>
      <c r="EX180" s="16115"/>
      <c r="EY180" s="2519" t="s">
        <v>620</v>
      </c>
      <c r="EZ180" s="2199"/>
      <c r="FA180" s="2512"/>
      <c r="FB180" s="2512" t="str">
        <f t="shared" si="3"/>
        <v>Группа потребителей</v>
      </c>
      <c r="FC180" s="2512"/>
      <c r="FD180" s="2512"/>
    </row>
    <row r="181" spans="1:160" s="15084" customFormat="1" ht="23.25" customHeight="1">
      <c r="A181" s="2502"/>
      <c r="B181" s="2502"/>
      <c r="C181" s="2502"/>
      <c r="D181" s="2502"/>
      <c r="E181" s="16125"/>
      <c r="F181" s="16125">
        <v>1</v>
      </c>
      <c r="G181" s="16125"/>
      <c r="H181" s="16125"/>
      <c r="I181" s="16145"/>
      <c r="J181" s="16145"/>
      <c r="K181" s="16122" t="str">
        <f>J180&amp;".1"</f>
        <v>2.2.1.1.1.1</v>
      </c>
      <c r="L181" s="2503"/>
      <c r="M181" s="2513"/>
      <c r="N181" s="2513"/>
      <c r="O181" s="2513"/>
      <c r="P181" s="16123"/>
      <c r="Q181" s="16123"/>
      <c r="R181" s="2517">
        <v>1</v>
      </c>
      <c r="S181" s="2508" t="str">
        <f>$K181</f>
        <v>2.2.1.1.1.1</v>
      </c>
      <c r="T181" s="2520"/>
      <c r="U181" s="2510"/>
      <c r="V181" s="1893"/>
      <c r="W181" s="1893"/>
      <c r="X181" s="1893"/>
      <c r="Y181" s="1893"/>
      <c r="Z181" s="1893"/>
      <c r="AA181" s="1893"/>
      <c r="AB181" s="1893"/>
      <c r="AC181" s="16127"/>
      <c r="AD181" s="15973" t="s">
        <v>66</v>
      </c>
      <c r="AE181" s="16127"/>
      <c r="AF181" s="15973" t="s">
        <v>66</v>
      </c>
      <c r="AG181" s="1893">
        <v>35.07</v>
      </c>
      <c r="AH181" s="1893"/>
      <c r="AI181" s="1893"/>
      <c r="AJ181" s="1893"/>
      <c r="AK181" s="1893">
        <v>5493.65</v>
      </c>
      <c r="AL181" s="1893"/>
      <c r="AM181" s="1893"/>
      <c r="AN181" s="16127">
        <v>45292</v>
      </c>
      <c r="AO181" s="15973" t="s">
        <v>66</v>
      </c>
      <c r="AP181" s="16146">
        <v>45378</v>
      </c>
      <c r="AQ181" s="15973" t="s">
        <v>66</v>
      </c>
      <c r="AR181" s="1893">
        <v>35.07</v>
      </c>
      <c r="AS181" s="1893"/>
      <c r="AT181" s="1893"/>
      <c r="AU181" s="1893"/>
      <c r="AV181" s="1893">
        <v>5493.65</v>
      </c>
      <c r="AW181" s="1893"/>
      <c r="AX181" s="1893"/>
      <c r="AY181" s="16127">
        <v>45379</v>
      </c>
      <c r="AZ181" s="15973" t="s">
        <v>66</v>
      </c>
      <c r="BA181" s="16127">
        <v>45473</v>
      </c>
      <c r="BB181" s="15973" t="s">
        <v>66</v>
      </c>
      <c r="BC181" s="1893">
        <v>38.96</v>
      </c>
      <c r="BD181" s="1893"/>
      <c r="BE181" s="1893"/>
      <c r="BF181" s="1893"/>
      <c r="BG181" s="1893">
        <v>5493.65</v>
      </c>
      <c r="BH181" s="1893"/>
      <c r="BI181" s="1893"/>
      <c r="BJ181" s="16127">
        <v>45474</v>
      </c>
      <c r="BK181" s="15973" t="s">
        <v>66</v>
      </c>
      <c r="BL181" s="16127">
        <v>45657</v>
      </c>
      <c r="BM181" s="15973" t="s">
        <v>66</v>
      </c>
      <c r="BN181" s="1893">
        <v>37.31</v>
      </c>
      <c r="BO181" s="1893"/>
      <c r="BP181" s="1893"/>
      <c r="BQ181" s="1893"/>
      <c r="BR181" s="1893">
        <v>5407.73</v>
      </c>
      <c r="BS181" s="1893"/>
      <c r="BT181" s="1893"/>
      <c r="BU181" s="16127">
        <v>45658</v>
      </c>
      <c r="BV181" s="15973" t="s">
        <v>66</v>
      </c>
      <c r="BW181" s="16127">
        <v>45838</v>
      </c>
      <c r="BX181" s="15973" t="s">
        <v>66</v>
      </c>
      <c r="BY181" s="1893">
        <v>37.369999999999997</v>
      </c>
      <c r="BZ181" s="1893"/>
      <c r="CA181" s="1893"/>
      <c r="CB181" s="1893"/>
      <c r="CC181" s="1893">
        <v>5407.73</v>
      </c>
      <c r="CD181" s="1893"/>
      <c r="CE181" s="1893"/>
      <c r="CF181" s="16127">
        <v>45839</v>
      </c>
      <c r="CG181" s="15973" t="s">
        <v>66</v>
      </c>
      <c r="CH181" s="16127">
        <v>46022</v>
      </c>
      <c r="CI181" s="15973" t="s">
        <v>66</v>
      </c>
      <c r="CJ181" s="1893">
        <v>37.369999999999997</v>
      </c>
      <c r="CK181" s="1893"/>
      <c r="CL181" s="1893"/>
      <c r="CM181" s="1893"/>
      <c r="CN181" s="1893">
        <v>5407.73</v>
      </c>
      <c r="CO181" s="1893"/>
      <c r="CP181" s="1893"/>
      <c r="CQ181" s="16127">
        <v>46023</v>
      </c>
      <c r="CR181" s="15973" t="s">
        <v>66</v>
      </c>
      <c r="CS181" s="16127">
        <v>46203</v>
      </c>
      <c r="CT181" s="15973" t="s">
        <v>66</v>
      </c>
      <c r="CU181" s="1893">
        <v>39.51</v>
      </c>
      <c r="CV181" s="1893"/>
      <c r="CW181" s="1893"/>
      <c r="CX181" s="1893"/>
      <c r="CY181" s="1893">
        <v>5700.78</v>
      </c>
      <c r="CZ181" s="1893"/>
      <c r="DA181" s="1893"/>
      <c r="DB181" s="16127">
        <v>46204</v>
      </c>
      <c r="DC181" s="15973" t="s">
        <v>66</v>
      </c>
      <c r="DD181" s="16127">
        <v>46387</v>
      </c>
      <c r="DE181" s="15973" t="s">
        <v>66</v>
      </c>
      <c r="DF181" s="1893">
        <v>39.51</v>
      </c>
      <c r="DG181" s="1893"/>
      <c r="DH181" s="1893"/>
      <c r="DI181" s="1893"/>
      <c r="DJ181" s="1893">
        <v>5674.41</v>
      </c>
      <c r="DK181" s="1893"/>
      <c r="DL181" s="1893"/>
      <c r="DM181" s="16127">
        <v>46388</v>
      </c>
      <c r="DN181" s="15973" t="s">
        <v>66</v>
      </c>
      <c r="DO181" s="16127">
        <v>46568</v>
      </c>
      <c r="DP181" s="15973" t="s">
        <v>66</v>
      </c>
      <c r="DQ181" s="1893">
        <v>39.82</v>
      </c>
      <c r="DR181" s="1893"/>
      <c r="DS181" s="1893"/>
      <c r="DT181" s="1893"/>
      <c r="DU181" s="1893">
        <v>5674.41</v>
      </c>
      <c r="DV181" s="1893"/>
      <c r="DW181" s="1893"/>
      <c r="DX181" s="16127">
        <v>46569</v>
      </c>
      <c r="DY181" s="15973" t="s">
        <v>66</v>
      </c>
      <c r="DZ181" s="16127">
        <v>46752</v>
      </c>
      <c r="EA181" s="15973" t="s">
        <v>66</v>
      </c>
      <c r="EB181" s="1893">
        <v>39.82</v>
      </c>
      <c r="EC181" s="1893"/>
      <c r="ED181" s="1893"/>
      <c r="EE181" s="1893"/>
      <c r="EF181" s="1893">
        <v>5674.41</v>
      </c>
      <c r="EG181" s="1893"/>
      <c r="EH181" s="1893"/>
      <c r="EI181" s="16127">
        <v>46753</v>
      </c>
      <c r="EJ181" s="15973" t="s">
        <v>66</v>
      </c>
      <c r="EK181" s="16127">
        <v>46934</v>
      </c>
      <c r="EL181" s="15973" t="s">
        <v>66</v>
      </c>
      <c r="EM181" s="14448">
        <v>41.41</v>
      </c>
      <c r="EN181" s="14448"/>
      <c r="EO181" s="14448"/>
      <c r="EP181" s="14448"/>
      <c r="EQ181" s="14448">
        <v>6011.67</v>
      </c>
      <c r="ER181" s="14448"/>
      <c r="ES181" s="14448"/>
      <c r="ET181" s="16127">
        <v>46935</v>
      </c>
      <c r="EU181" s="15973" t="s">
        <v>66</v>
      </c>
      <c r="EV181" s="16127">
        <v>47118</v>
      </c>
      <c r="EW181" s="15973" t="s">
        <v>66</v>
      </c>
      <c r="EX181" s="2521"/>
      <c r="EY18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81" s="2199" t="e">
        <f ca="1">STRCHECKDATE(V182:EX182)</f>
        <v>#NAME?</v>
      </c>
      <c r="FA181" s="2512"/>
      <c r="FB181" s="2512" t="str">
        <f t="shared" si="3"/>
        <v/>
      </c>
      <c r="FC181" s="2512"/>
      <c r="FD181" s="2512"/>
    </row>
    <row r="182" spans="1:160" s="15085" customFormat="1" ht="14.25" customHeight="1">
      <c r="A182" s="2502"/>
      <c r="B182" s="2502"/>
      <c r="C182" s="2502"/>
      <c r="D182" s="2502"/>
      <c r="E182" s="16125"/>
      <c r="F182" s="16125">
        <v>1</v>
      </c>
      <c r="G182" s="16125"/>
      <c r="H182" s="16125"/>
      <c r="I182" s="16145"/>
      <c r="J182" s="16145"/>
      <c r="K182" s="16122"/>
      <c r="L182" s="2503"/>
      <c r="M182" s="2513"/>
      <c r="N182" s="2513"/>
      <c r="O182" s="2513"/>
      <c r="P182" s="16123"/>
      <c r="Q182" s="16123"/>
      <c r="R182" s="2517"/>
      <c r="S182" s="2522"/>
      <c r="T182" s="2510"/>
      <c r="U182" s="2510"/>
      <c r="V182" s="1894"/>
      <c r="W182" s="1894"/>
      <c r="X182" s="1894"/>
      <c r="Y182" s="1894"/>
      <c r="Z182" s="1894"/>
      <c r="AA182" s="1894"/>
      <c r="AB182" s="1894"/>
      <c r="AC182" s="16128"/>
      <c r="AD182" s="15973"/>
      <c r="AE182" s="16128"/>
      <c r="AF182" s="15973"/>
      <c r="AG182" s="1894"/>
      <c r="AH182" s="1894"/>
      <c r="AI182" s="1894"/>
      <c r="AJ182" s="1894"/>
      <c r="AK182" s="1894"/>
      <c r="AL182" s="1894"/>
      <c r="AM182" s="1894"/>
      <c r="AN182" s="16128"/>
      <c r="AO182" s="15973"/>
      <c r="AP182" s="16147"/>
      <c r="AQ182" s="15973"/>
      <c r="AR182" s="1894"/>
      <c r="AS182" s="1894"/>
      <c r="AT182" s="1894"/>
      <c r="AU182" s="1894"/>
      <c r="AV182" s="1894"/>
      <c r="AW182" s="1894"/>
      <c r="AX182" s="1894"/>
      <c r="AY182" s="16128"/>
      <c r="AZ182" s="15973"/>
      <c r="BA182" s="16128"/>
      <c r="BB182" s="15973"/>
      <c r="BC182" s="1894"/>
      <c r="BD182" s="1894"/>
      <c r="BE182" s="1894"/>
      <c r="BF182" s="1894"/>
      <c r="BG182" s="1894"/>
      <c r="BH182" s="1894"/>
      <c r="BI182" s="1894"/>
      <c r="BJ182" s="16128"/>
      <c r="BK182" s="15973"/>
      <c r="BL182" s="16128"/>
      <c r="BM182" s="15973"/>
      <c r="BN182" s="1894"/>
      <c r="BO182" s="1894"/>
      <c r="BP182" s="1894"/>
      <c r="BQ182" s="1894"/>
      <c r="BR182" s="1894"/>
      <c r="BS182" s="1894"/>
      <c r="BT182" s="1894"/>
      <c r="BU182" s="16128"/>
      <c r="BV182" s="15973"/>
      <c r="BW182" s="16128"/>
      <c r="BX182" s="15973"/>
      <c r="BY182" s="1894"/>
      <c r="BZ182" s="1894"/>
      <c r="CA182" s="1894"/>
      <c r="CB182" s="1894"/>
      <c r="CC182" s="1894"/>
      <c r="CD182" s="1894"/>
      <c r="CE182" s="1894"/>
      <c r="CF182" s="16128"/>
      <c r="CG182" s="15973"/>
      <c r="CH182" s="16128"/>
      <c r="CI182" s="15973"/>
      <c r="CJ182" s="1894"/>
      <c r="CK182" s="1894"/>
      <c r="CL182" s="1894"/>
      <c r="CM182" s="1894"/>
      <c r="CN182" s="1894"/>
      <c r="CO182" s="1894"/>
      <c r="CP182" s="1894"/>
      <c r="CQ182" s="16128"/>
      <c r="CR182" s="15973"/>
      <c r="CS182" s="16128"/>
      <c r="CT182" s="15973"/>
      <c r="CU182" s="1894"/>
      <c r="CV182" s="1894"/>
      <c r="CW182" s="1894"/>
      <c r="CX182" s="1894"/>
      <c r="CY182" s="1894"/>
      <c r="CZ182" s="1894"/>
      <c r="DA182" s="1894"/>
      <c r="DB182" s="16128"/>
      <c r="DC182" s="15973"/>
      <c r="DD182" s="16128"/>
      <c r="DE182" s="15973"/>
      <c r="DF182" s="1894"/>
      <c r="DG182" s="1894"/>
      <c r="DH182" s="1894"/>
      <c r="DI182" s="1894"/>
      <c r="DJ182" s="1894"/>
      <c r="DK182" s="1894"/>
      <c r="DL182" s="1894"/>
      <c r="DM182" s="16128"/>
      <c r="DN182" s="15973"/>
      <c r="DO182" s="16128"/>
      <c r="DP182" s="15973"/>
      <c r="DQ182" s="1894"/>
      <c r="DR182" s="1894"/>
      <c r="DS182" s="1894"/>
      <c r="DT182" s="1894"/>
      <c r="DU182" s="1894"/>
      <c r="DV182" s="1894"/>
      <c r="DW182" s="1894"/>
      <c r="DX182" s="16128"/>
      <c r="DY182" s="15973"/>
      <c r="DZ182" s="16128"/>
      <c r="EA182" s="15973"/>
      <c r="EB182" s="1894"/>
      <c r="EC182" s="1894"/>
      <c r="ED182" s="1894"/>
      <c r="EE182" s="1894"/>
      <c r="EF182" s="1894"/>
      <c r="EG182" s="1894"/>
      <c r="EH182" s="1894"/>
      <c r="EI182" s="16128"/>
      <c r="EJ182" s="15973"/>
      <c r="EK182" s="16128"/>
      <c r="EL182" s="15973"/>
      <c r="EM182" s="14449"/>
      <c r="EN182" s="14449"/>
      <c r="EO182" s="14449"/>
      <c r="EP182" s="14449"/>
      <c r="EQ182" s="14449"/>
      <c r="ER182" s="14449"/>
      <c r="ES182" s="14449"/>
      <c r="ET182" s="16128"/>
      <c r="EU182" s="15973"/>
      <c r="EV182" s="16128"/>
      <c r="EW182" s="15973"/>
      <c r="EX182" s="2523"/>
      <c r="EY182" s="16182"/>
      <c r="EZ182" s="2199"/>
      <c r="FA182" s="2512"/>
      <c r="FB182" s="2512" t="str">
        <f t="shared" si="3"/>
        <v/>
      </c>
      <c r="FC182" s="2512"/>
      <c r="FD182" s="2512"/>
    </row>
    <row r="183" spans="1:160" s="15086" customFormat="1" ht="21" customHeight="1">
      <c r="A183" s="2502"/>
      <c r="B183" s="2502"/>
      <c r="C183" s="2502"/>
      <c r="D183" s="2502"/>
      <c r="E183" s="16125"/>
      <c r="F183" s="16125">
        <v>1</v>
      </c>
      <c r="G183" s="16125"/>
      <c r="H183" s="16125"/>
      <c r="I183" s="16145"/>
      <c r="J183" s="16122"/>
      <c r="K183" s="2502"/>
      <c r="L183" s="2503"/>
      <c r="M183" s="2513"/>
      <c r="N183" s="2513"/>
      <c r="O183" s="2513"/>
      <c r="P183" s="16123"/>
      <c r="Q183" s="16123"/>
      <c r="R183" s="2515"/>
      <c r="S183" s="7439"/>
      <c r="T183" s="7440" t="s">
        <v>621</v>
      </c>
      <c r="U183" s="7441"/>
      <c r="V183" s="7442"/>
      <c r="W183" s="7443"/>
      <c r="X183" s="7444"/>
      <c r="Y183" s="7445"/>
      <c r="Z183" s="7446"/>
      <c r="AA183" s="7447"/>
      <c r="AB183" s="7448"/>
      <c r="AC183" s="7449"/>
      <c r="AD183" s="7450"/>
      <c r="AE183" s="7451"/>
      <c r="AF183" s="7452"/>
      <c r="AG183" s="7453"/>
      <c r="AH183" s="7454"/>
      <c r="AI183" s="7455"/>
      <c r="AJ183" s="7456"/>
      <c r="AK183" s="7457"/>
      <c r="AL183" s="7458"/>
      <c r="AM183" s="7459"/>
      <c r="AN183" s="7460"/>
      <c r="AO183" s="7461"/>
      <c r="AP183" s="7462"/>
      <c r="AQ183" s="7463"/>
      <c r="AR183" s="7464"/>
      <c r="AS183" s="7465"/>
      <c r="AT183" s="7466"/>
      <c r="AU183" s="7467"/>
      <c r="AV183" s="7468"/>
      <c r="AW183" s="7469"/>
      <c r="AX183" s="7470"/>
      <c r="AY183" s="7471"/>
      <c r="AZ183" s="7472"/>
      <c r="BA183" s="7473"/>
      <c r="BB183" s="7474"/>
      <c r="BC183" s="7475"/>
      <c r="BD183" s="7476"/>
      <c r="BE183" s="7477"/>
      <c r="BF183" s="7478"/>
      <c r="BG183" s="7479"/>
      <c r="BH183" s="7480"/>
      <c r="BI183" s="7481"/>
      <c r="BJ183" s="7482"/>
      <c r="BK183" s="7483"/>
      <c r="BL183" s="7484"/>
      <c r="BM183" s="7485"/>
      <c r="BN183" s="7486"/>
      <c r="BO183" s="7487"/>
      <c r="BP183" s="7488"/>
      <c r="BQ183" s="7489"/>
      <c r="BR183" s="7490"/>
      <c r="BS183" s="7491"/>
      <c r="BT183" s="7492"/>
      <c r="BU183" s="7493"/>
      <c r="BV183" s="7494"/>
      <c r="BW183" s="7495"/>
      <c r="BX183" s="7496"/>
      <c r="BY183" s="7497"/>
      <c r="BZ183" s="7498"/>
      <c r="CA183" s="7499"/>
      <c r="CB183" s="7500"/>
      <c r="CC183" s="7501"/>
      <c r="CD183" s="7502"/>
      <c r="CE183" s="7503"/>
      <c r="CF183" s="7504"/>
      <c r="CG183" s="7505"/>
      <c r="CH183" s="7506"/>
      <c r="CI183" s="7507"/>
      <c r="CJ183" s="7508"/>
      <c r="CK183" s="7509"/>
      <c r="CL183" s="7510"/>
      <c r="CM183" s="7511"/>
      <c r="CN183" s="7512"/>
      <c r="CO183" s="7513"/>
      <c r="CP183" s="7514"/>
      <c r="CQ183" s="7515"/>
      <c r="CR183" s="7516"/>
      <c r="CS183" s="7517"/>
      <c r="CT183" s="7518"/>
      <c r="CU183" s="7519"/>
      <c r="CV183" s="7520"/>
      <c r="CW183" s="7521"/>
      <c r="CX183" s="7522"/>
      <c r="CY183" s="7523"/>
      <c r="CZ183" s="7524"/>
      <c r="DA183" s="7525"/>
      <c r="DB183" s="7526"/>
      <c r="DC183" s="7527"/>
      <c r="DD183" s="7528"/>
      <c r="DE183" s="7529"/>
      <c r="DF183" s="7530"/>
      <c r="DG183" s="7531"/>
      <c r="DH183" s="7532"/>
      <c r="DI183" s="7533"/>
      <c r="DJ183" s="7534"/>
      <c r="DK183" s="7535"/>
      <c r="DL183" s="7536"/>
      <c r="DM183" s="7537"/>
      <c r="DN183" s="7538"/>
      <c r="DO183" s="7539"/>
      <c r="DP183" s="7540"/>
      <c r="DQ183" s="7541"/>
      <c r="DR183" s="7542"/>
      <c r="DS183" s="7543"/>
      <c r="DT183" s="7544"/>
      <c r="DU183" s="7545"/>
      <c r="DV183" s="7546"/>
      <c r="DW183" s="7547"/>
      <c r="DX183" s="7548"/>
      <c r="DY183" s="7549"/>
      <c r="DZ183" s="7550"/>
      <c r="EA183" s="7551"/>
      <c r="EB183" s="7552"/>
      <c r="EC183" s="7553"/>
      <c r="ED183" s="7554"/>
      <c r="EE183" s="7555"/>
      <c r="EF183" s="7556"/>
      <c r="EG183" s="7557"/>
      <c r="EH183" s="7558"/>
      <c r="EI183" s="7559"/>
      <c r="EJ183" s="7560"/>
      <c r="EK183" s="7561"/>
      <c r="EL183" s="7562"/>
      <c r="EM183" s="15087"/>
      <c r="EN183" s="15088"/>
      <c r="EO183" s="15089"/>
      <c r="EP183" s="15090"/>
      <c r="EQ183" s="15091"/>
      <c r="ER183" s="15092"/>
      <c r="ES183" s="15093"/>
      <c r="ET183" s="15094"/>
      <c r="EU183" s="15095"/>
      <c r="EV183" s="15096"/>
      <c r="EW183" s="15097"/>
      <c r="EX183" s="7563"/>
      <c r="EY183" s="2511" t="s">
        <v>622</v>
      </c>
      <c r="EZ183" s="2199"/>
      <c r="FA183" s="2512"/>
      <c r="FB183" s="2512" t="str">
        <f t="shared" si="3"/>
        <v>Добавить значение признака дифференциации</v>
      </c>
      <c r="FC183" s="2512"/>
      <c r="FD183" s="2512"/>
    </row>
    <row r="184" spans="1:160" s="15098" customFormat="1" ht="21" customHeight="1">
      <c r="A184" s="2502"/>
      <c r="B184" s="2502"/>
      <c r="C184" s="2502"/>
      <c r="D184" s="2502"/>
      <c r="E184" s="16125"/>
      <c r="F184" s="16125">
        <v>1</v>
      </c>
      <c r="G184" s="16125"/>
      <c r="H184" s="16125"/>
      <c r="I184" s="16122"/>
      <c r="J184" s="2502"/>
      <c r="K184" s="2502"/>
      <c r="L184" s="2503"/>
      <c r="M184" s="2513"/>
      <c r="N184" s="2513"/>
      <c r="O184" s="2513"/>
      <c r="P184" s="16123"/>
      <c r="Q184" s="2514"/>
      <c r="R184" s="2515"/>
      <c r="S184" s="7564"/>
      <c r="T184" s="7565" t="s">
        <v>549</v>
      </c>
      <c r="U184" s="7566"/>
      <c r="V184" s="7567"/>
      <c r="W184" s="7568"/>
      <c r="X184" s="7569"/>
      <c r="Y184" s="7570"/>
      <c r="Z184" s="7571"/>
      <c r="AA184" s="7572"/>
      <c r="AB184" s="7573"/>
      <c r="AC184" s="7574"/>
      <c r="AD184" s="7575"/>
      <c r="AE184" s="7576"/>
      <c r="AF184" s="7577"/>
      <c r="AG184" s="7578"/>
      <c r="AH184" s="7579"/>
      <c r="AI184" s="7580"/>
      <c r="AJ184" s="7581"/>
      <c r="AK184" s="7582"/>
      <c r="AL184" s="7583"/>
      <c r="AM184" s="7584"/>
      <c r="AN184" s="7585"/>
      <c r="AO184" s="7586"/>
      <c r="AP184" s="7587"/>
      <c r="AQ184" s="7588"/>
      <c r="AR184" s="7589"/>
      <c r="AS184" s="7590"/>
      <c r="AT184" s="7591"/>
      <c r="AU184" s="7592"/>
      <c r="AV184" s="7593"/>
      <c r="AW184" s="7594"/>
      <c r="AX184" s="7595"/>
      <c r="AY184" s="7596"/>
      <c r="AZ184" s="7597"/>
      <c r="BA184" s="7598"/>
      <c r="BB184" s="7599"/>
      <c r="BC184" s="7600"/>
      <c r="BD184" s="7601"/>
      <c r="BE184" s="7602"/>
      <c r="BF184" s="7603"/>
      <c r="BG184" s="7604"/>
      <c r="BH184" s="7605"/>
      <c r="BI184" s="7606"/>
      <c r="BJ184" s="7607"/>
      <c r="BK184" s="7608"/>
      <c r="BL184" s="7609"/>
      <c r="BM184" s="7610"/>
      <c r="BN184" s="7611"/>
      <c r="BO184" s="7612"/>
      <c r="BP184" s="7613"/>
      <c r="BQ184" s="7614"/>
      <c r="BR184" s="7615"/>
      <c r="BS184" s="7616"/>
      <c r="BT184" s="7617"/>
      <c r="BU184" s="7618"/>
      <c r="BV184" s="7619"/>
      <c r="BW184" s="7620"/>
      <c r="BX184" s="7621"/>
      <c r="BY184" s="7622"/>
      <c r="BZ184" s="7623"/>
      <c r="CA184" s="7624"/>
      <c r="CB184" s="7625"/>
      <c r="CC184" s="7626"/>
      <c r="CD184" s="7627"/>
      <c r="CE184" s="7628"/>
      <c r="CF184" s="7629"/>
      <c r="CG184" s="7630"/>
      <c r="CH184" s="7631"/>
      <c r="CI184" s="7632"/>
      <c r="CJ184" s="7633"/>
      <c r="CK184" s="7634"/>
      <c r="CL184" s="7635"/>
      <c r="CM184" s="7636"/>
      <c r="CN184" s="7637"/>
      <c r="CO184" s="7638"/>
      <c r="CP184" s="7639"/>
      <c r="CQ184" s="7640"/>
      <c r="CR184" s="7641"/>
      <c r="CS184" s="7642"/>
      <c r="CT184" s="7643"/>
      <c r="CU184" s="7644"/>
      <c r="CV184" s="7645"/>
      <c r="CW184" s="7646"/>
      <c r="CX184" s="7647"/>
      <c r="CY184" s="7648"/>
      <c r="CZ184" s="7649"/>
      <c r="DA184" s="7650"/>
      <c r="DB184" s="7651"/>
      <c r="DC184" s="7652"/>
      <c r="DD184" s="7653"/>
      <c r="DE184" s="7654"/>
      <c r="DF184" s="7655"/>
      <c r="DG184" s="7656"/>
      <c r="DH184" s="7657"/>
      <c r="DI184" s="7658"/>
      <c r="DJ184" s="7659"/>
      <c r="DK184" s="7660"/>
      <c r="DL184" s="7661"/>
      <c r="DM184" s="7662"/>
      <c r="DN184" s="7663"/>
      <c r="DO184" s="7664"/>
      <c r="DP184" s="7665"/>
      <c r="DQ184" s="7666"/>
      <c r="DR184" s="7667"/>
      <c r="DS184" s="7668"/>
      <c r="DT184" s="7669"/>
      <c r="DU184" s="7670"/>
      <c r="DV184" s="7671"/>
      <c r="DW184" s="7672"/>
      <c r="DX184" s="7673"/>
      <c r="DY184" s="7674"/>
      <c r="DZ184" s="7675"/>
      <c r="EA184" s="7676"/>
      <c r="EB184" s="7677"/>
      <c r="EC184" s="7678"/>
      <c r="ED184" s="7679"/>
      <c r="EE184" s="7680"/>
      <c r="EF184" s="7681"/>
      <c r="EG184" s="7682"/>
      <c r="EH184" s="7683"/>
      <c r="EI184" s="7684"/>
      <c r="EJ184" s="7685"/>
      <c r="EK184" s="7686"/>
      <c r="EL184" s="7687"/>
      <c r="EM184" s="15099"/>
      <c r="EN184" s="15100"/>
      <c r="EO184" s="15101"/>
      <c r="EP184" s="15102"/>
      <c r="EQ184" s="15103"/>
      <c r="ER184" s="15104"/>
      <c r="ES184" s="15105"/>
      <c r="ET184" s="15106"/>
      <c r="EU184" s="15107"/>
      <c r="EV184" s="15108"/>
      <c r="EW184" s="15109"/>
      <c r="EX184" s="7688"/>
      <c r="EY184" s="7689"/>
      <c r="EZ184" s="2199"/>
      <c r="FA184" s="2512"/>
      <c r="FB184" s="2512" t="str">
        <f t="shared" si="3"/>
        <v>Добавить группу потребителей</v>
      </c>
      <c r="FC184" s="2512"/>
      <c r="FD184" s="2512"/>
    </row>
    <row r="185" spans="1:160" s="15110" customFormat="1" ht="21" customHeight="1">
      <c r="A185" s="2502"/>
      <c r="B185" s="2502"/>
      <c r="C185" s="2502"/>
      <c r="D185" s="2502"/>
      <c r="E185" s="16125"/>
      <c r="F185" s="16125">
        <v>1</v>
      </c>
      <c r="G185" s="16125"/>
      <c r="H185" s="16124"/>
      <c r="I185" s="2502"/>
      <c r="J185" s="2502"/>
      <c r="K185" s="2502"/>
      <c r="L185" s="2503"/>
      <c r="M185" s="2504"/>
      <c r="N185" s="2504"/>
      <c r="O185" s="2193"/>
      <c r="P185" s="2775"/>
      <c r="Q185" s="2776"/>
      <c r="R185" s="2777"/>
      <c r="S185" s="7690"/>
      <c r="T185" s="7691" t="s">
        <v>623</v>
      </c>
      <c r="U185" s="7692"/>
      <c r="V185" s="7693"/>
      <c r="W185" s="7694"/>
      <c r="X185" s="7695"/>
      <c r="Y185" s="7696"/>
      <c r="Z185" s="7697"/>
      <c r="AA185" s="7698"/>
      <c r="AB185" s="7699"/>
      <c r="AC185" s="7700"/>
      <c r="AD185" s="7701"/>
      <c r="AE185" s="7702"/>
      <c r="AF185" s="7703"/>
      <c r="AG185" s="7704"/>
      <c r="AH185" s="7705"/>
      <c r="AI185" s="7706"/>
      <c r="AJ185" s="7707"/>
      <c r="AK185" s="7708"/>
      <c r="AL185" s="7709"/>
      <c r="AM185" s="7710"/>
      <c r="AN185" s="7711"/>
      <c r="AO185" s="7712"/>
      <c r="AP185" s="7713"/>
      <c r="AQ185" s="7714"/>
      <c r="AR185" s="7715"/>
      <c r="AS185" s="7716"/>
      <c r="AT185" s="7717"/>
      <c r="AU185" s="7718"/>
      <c r="AV185" s="7719"/>
      <c r="AW185" s="7720"/>
      <c r="AX185" s="7721"/>
      <c r="AY185" s="7722"/>
      <c r="AZ185" s="7723"/>
      <c r="BA185" s="7724"/>
      <c r="BB185" s="7725"/>
      <c r="BC185" s="7726"/>
      <c r="BD185" s="7727"/>
      <c r="BE185" s="7728"/>
      <c r="BF185" s="7729"/>
      <c r="BG185" s="7730"/>
      <c r="BH185" s="7731"/>
      <c r="BI185" s="7732"/>
      <c r="BJ185" s="7733"/>
      <c r="BK185" s="7734"/>
      <c r="BL185" s="7735"/>
      <c r="BM185" s="7736"/>
      <c r="BN185" s="7737"/>
      <c r="BO185" s="7738"/>
      <c r="BP185" s="7739"/>
      <c r="BQ185" s="7740"/>
      <c r="BR185" s="7741"/>
      <c r="BS185" s="7742"/>
      <c r="BT185" s="7743"/>
      <c r="BU185" s="7744"/>
      <c r="BV185" s="7745"/>
      <c r="BW185" s="7746"/>
      <c r="BX185" s="7747"/>
      <c r="BY185" s="7748"/>
      <c r="BZ185" s="7749"/>
      <c r="CA185" s="7750"/>
      <c r="CB185" s="7751"/>
      <c r="CC185" s="7752"/>
      <c r="CD185" s="7753"/>
      <c r="CE185" s="7754"/>
      <c r="CF185" s="7755"/>
      <c r="CG185" s="7756"/>
      <c r="CH185" s="7757"/>
      <c r="CI185" s="7758"/>
      <c r="CJ185" s="7759"/>
      <c r="CK185" s="7760"/>
      <c r="CL185" s="7761"/>
      <c r="CM185" s="7762"/>
      <c r="CN185" s="7763"/>
      <c r="CO185" s="7764"/>
      <c r="CP185" s="7765"/>
      <c r="CQ185" s="7766"/>
      <c r="CR185" s="7767"/>
      <c r="CS185" s="7768"/>
      <c r="CT185" s="7769"/>
      <c r="CU185" s="7770"/>
      <c r="CV185" s="7771"/>
      <c r="CW185" s="7772"/>
      <c r="CX185" s="7773"/>
      <c r="CY185" s="7774"/>
      <c r="CZ185" s="7775"/>
      <c r="DA185" s="7776"/>
      <c r="DB185" s="7777"/>
      <c r="DC185" s="7778"/>
      <c r="DD185" s="7779"/>
      <c r="DE185" s="7780"/>
      <c r="DF185" s="7781"/>
      <c r="DG185" s="7782"/>
      <c r="DH185" s="7783"/>
      <c r="DI185" s="7784"/>
      <c r="DJ185" s="7785"/>
      <c r="DK185" s="7786"/>
      <c r="DL185" s="7787"/>
      <c r="DM185" s="7788"/>
      <c r="DN185" s="7789"/>
      <c r="DO185" s="7790"/>
      <c r="DP185" s="7791"/>
      <c r="DQ185" s="7792"/>
      <c r="DR185" s="7793"/>
      <c r="DS185" s="7794"/>
      <c r="DT185" s="7795"/>
      <c r="DU185" s="7796"/>
      <c r="DV185" s="7797"/>
      <c r="DW185" s="7798"/>
      <c r="DX185" s="7799"/>
      <c r="DY185" s="7800"/>
      <c r="DZ185" s="7801"/>
      <c r="EA185" s="7802"/>
      <c r="EB185" s="7803"/>
      <c r="EC185" s="7804"/>
      <c r="ED185" s="7805"/>
      <c r="EE185" s="7806"/>
      <c r="EF185" s="7807"/>
      <c r="EG185" s="7808"/>
      <c r="EH185" s="7809"/>
      <c r="EI185" s="7810"/>
      <c r="EJ185" s="7811"/>
      <c r="EK185" s="7812"/>
      <c r="EL185" s="7813"/>
      <c r="EM185" s="15111"/>
      <c r="EN185" s="15112"/>
      <c r="EO185" s="15113"/>
      <c r="EP185" s="15114"/>
      <c r="EQ185" s="15115"/>
      <c r="ER185" s="15116"/>
      <c r="ES185" s="15117"/>
      <c r="ET185" s="15118"/>
      <c r="EU185" s="15119"/>
      <c r="EV185" s="15120"/>
      <c r="EW185" s="15121"/>
      <c r="EX185" s="7814"/>
      <c r="EY185" s="7815"/>
      <c r="EZ185" s="2199"/>
      <c r="FA185" s="2512"/>
      <c r="FB185" s="2512" t="str">
        <f t="shared" si="3"/>
        <v>Добавить наименование признака дифференциации</v>
      </c>
      <c r="FC185" s="2512"/>
      <c r="FD185" s="2512"/>
    </row>
    <row r="186" spans="1:160" s="15122" customFormat="1" ht="14.25" customHeight="1">
      <c r="A186" s="3283"/>
      <c r="B186" s="3283"/>
      <c r="C186" s="3283"/>
      <c r="D186" s="3283"/>
      <c r="E186" s="16125"/>
      <c r="F186" s="16124">
        <v>1</v>
      </c>
      <c r="G186" s="3283"/>
      <c r="H186" s="3283"/>
      <c r="I186" s="3283"/>
      <c r="J186" s="3283"/>
      <c r="K186" s="3283"/>
      <c r="L186" s="3284"/>
      <c r="M186" s="3285"/>
      <c r="N186" s="3285"/>
      <c r="O186" s="2199"/>
      <c r="P186" s="3286"/>
      <c r="Q186" s="3287"/>
      <c r="R186" s="3286"/>
      <c r="S186" s="3288"/>
      <c r="T186" s="3289" t="s">
        <v>290</v>
      </c>
      <c r="U186" s="2192"/>
      <c r="V186" s="2192"/>
      <c r="W186" s="2192"/>
      <c r="X186" s="2192"/>
      <c r="Y186" s="2192"/>
      <c r="Z186" s="2192"/>
      <c r="AA186" s="2192"/>
      <c r="AB186" s="2192"/>
      <c r="AC186" s="2192"/>
      <c r="AD186" s="2192"/>
      <c r="AE186" s="2192"/>
      <c r="AF186" s="2192"/>
      <c r="AG186" s="2192"/>
      <c r="AH186" s="2192"/>
      <c r="AI186" s="2192"/>
      <c r="AJ186" s="2192"/>
      <c r="AK186" s="2192"/>
      <c r="AL186" s="2192"/>
      <c r="AM186" s="2192"/>
      <c r="AN186" s="2192"/>
      <c r="AO186" s="2192"/>
      <c r="AP186" s="2192"/>
      <c r="AQ186" s="2192"/>
      <c r="AR186" s="2192"/>
      <c r="AS186" s="2192"/>
      <c r="AT186" s="2192"/>
      <c r="AU186" s="2192"/>
      <c r="AV186" s="2192"/>
      <c r="AW186" s="2192"/>
      <c r="AX186" s="2192"/>
      <c r="AY186" s="2192"/>
      <c r="AZ186" s="2192"/>
      <c r="BA186" s="2192"/>
      <c r="BB186" s="2192"/>
      <c r="BC186" s="2192"/>
      <c r="BD186" s="2192"/>
      <c r="BE186" s="2192"/>
      <c r="BF186" s="2192"/>
      <c r="BG186" s="2192"/>
      <c r="BH186" s="2192"/>
      <c r="BI186" s="2192"/>
      <c r="BJ186" s="2192"/>
      <c r="BK186" s="2192"/>
      <c r="BL186" s="2192"/>
      <c r="BM186" s="2192"/>
      <c r="BN186" s="2192"/>
      <c r="BO186" s="2192"/>
      <c r="BP186" s="2192"/>
      <c r="BQ186" s="2192"/>
      <c r="BR186" s="2192"/>
      <c r="BS186" s="2192"/>
      <c r="BT186" s="2192"/>
      <c r="BU186" s="2192"/>
      <c r="BV186" s="2192"/>
      <c r="BW186" s="2192"/>
      <c r="BX186" s="2192"/>
      <c r="BY186" s="2192"/>
      <c r="BZ186" s="2192"/>
      <c r="CA186" s="2192"/>
      <c r="CB186" s="2192"/>
      <c r="CC186" s="2192"/>
      <c r="CD186" s="2192"/>
      <c r="CE186" s="2192"/>
      <c r="CF186" s="2192"/>
      <c r="CG186" s="2192"/>
      <c r="CH186" s="2192"/>
      <c r="CI186" s="2192"/>
      <c r="CJ186" s="2192"/>
      <c r="CK186" s="2192"/>
      <c r="CL186" s="2192"/>
      <c r="CM186" s="2192"/>
      <c r="CN186" s="2192"/>
      <c r="CO186" s="2192"/>
      <c r="CP186" s="2192"/>
      <c r="CQ186" s="2192"/>
      <c r="CR186" s="2192"/>
      <c r="CS186" s="2192"/>
      <c r="CT186" s="2192"/>
      <c r="CU186" s="2192"/>
      <c r="CV186" s="2192"/>
      <c r="CW186" s="2192"/>
      <c r="CX186" s="2192"/>
      <c r="CY186" s="2192"/>
      <c r="CZ186" s="2192"/>
      <c r="DA186" s="2192"/>
      <c r="DB186" s="2192"/>
      <c r="DC186" s="2192"/>
      <c r="DD186" s="2192"/>
      <c r="DE186" s="2192"/>
      <c r="DF186" s="2192"/>
      <c r="DG186" s="2192"/>
      <c r="DH186" s="2192"/>
      <c r="DI186" s="2192"/>
      <c r="DJ186" s="2192"/>
      <c r="DK186" s="2192"/>
      <c r="DL186" s="2192"/>
      <c r="DM186" s="2192"/>
      <c r="DN186" s="2192"/>
      <c r="DO186" s="2192"/>
      <c r="DP186" s="2192"/>
      <c r="DQ186" s="2192"/>
      <c r="DR186" s="2192"/>
      <c r="DS186" s="2192"/>
      <c r="DT186" s="2192"/>
      <c r="DU186" s="2192"/>
      <c r="DV186" s="2192"/>
      <c r="DW186" s="2192"/>
      <c r="DX186" s="2192"/>
      <c r="DY186" s="2192"/>
      <c r="DZ186" s="2192"/>
      <c r="EA186" s="2192"/>
      <c r="EB186" s="2192"/>
      <c r="EC186" s="2192"/>
      <c r="ED186" s="2192"/>
      <c r="EE186" s="2192"/>
      <c r="EF186" s="2192"/>
      <c r="EG186" s="2192"/>
      <c r="EH186" s="2192"/>
      <c r="EI186" s="2192"/>
      <c r="EJ186" s="2192"/>
      <c r="EK186" s="2192"/>
      <c r="EL186" s="2192"/>
      <c r="EM186" s="14483"/>
      <c r="EN186" s="14483"/>
      <c r="EO186" s="14483"/>
      <c r="EP186" s="14483"/>
      <c r="EQ186" s="14483"/>
      <c r="ER186" s="14483"/>
      <c r="ES186" s="14483"/>
      <c r="ET186" s="14483"/>
      <c r="EU186" s="14483"/>
      <c r="EV186" s="14483"/>
      <c r="EW186" s="14483"/>
      <c r="EX186" s="2192"/>
      <c r="EY186" s="2192"/>
      <c r="EZ186" s="2199"/>
      <c r="FA186" s="2512"/>
      <c r="FB186" s="2512" t="str">
        <f t="shared" si="3"/>
        <v>Добавить централизованную систему для дифференциации</v>
      </c>
      <c r="FC186" s="2512"/>
      <c r="FD186" s="2512"/>
    </row>
    <row r="187" spans="1:160" s="15123" customFormat="1" ht="23.25" customHeight="1">
      <c r="A187" s="2502"/>
      <c r="B187" s="2502" t="s">
        <v>338</v>
      </c>
      <c r="C187" s="2502"/>
      <c r="D187" s="2502"/>
      <c r="E187" s="16125"/>
      <c r="F187" s="16124" t="s">
        <v>89</v>
      </c>
      <c r="G187" s="2502"/>
      <c r="H187" s="2502"/>
      <c r="I187" s="2502"/>
      <c r="J187" s="2502"/>
      <c r="K187" s="2502"/>
      <c r="L187" s="2503"/>
      <c r="M187" s="2504"/>
      <c r="N187" s="2504"/>
      <c r="O187" s="2504"/>
      <c r="P187" s="2904"/>
      <c r="Q187" s="2506"/>
      <c r="R187" s="2507"/>
      <c r="S187" s="2508" t="str">
        <f>INDEX(PT_DIFFERENTIATION_NUM_TER,MATCH(B187,PT_DIFFERENTIATION_TER_ID,0))</f>
        <v>2.3</v>
      </c>
      <c r="T187" s="2905" t="s">
        <v>534</v>
      </c>
      <c r="U187" s="2510"/>
      <c r="V187" s="16110"/>
      <c r="W187" s="16111"/>
      <c r="X187" s="16111"/>
      <c r="Y187" s="16111"/>
      <c r="Z187" s="16111"/>
      <c r="AA187" s="16111"/>
      <c r="AB187" s="16111"/>
      <c r="AC187" s="16111"/>
      <c r="AD187" s="16111"/>
      <c r="AE187" s="16111"/>
      <c r="AF187" s="16112"/>
      <c r="AG187" s="16110" t="str">
        <f>INDEX(PT_DIFFERENTIATION_TER,MATCH(B187,PT_DIFFERENTIATION_TER_ID,0))</f>
        <v>Территория 3</v>
      </c>
      <c r="AH187" s="16111"/>
      <c r="AI187" s="16111"/>
      <c r="AJ187" s="16111"/>
      <c r="AK187" s="16111"/>
      <c r="AL187" s="16111"/>
      <c r="AM187" s="16111"/>
      <c r="AN187" s="16111"/>
      <c r="AO187" s="16111"/>
      <c r="AP187" s="16111"/>
      <c r="AQ187" s="16111"/>
      <c r="AR187" s="16110"/>
      <c r="AS187" s="16111"/>
      <c r="AT187" s="16111"/>
      <c r="AU187" s="16111"/>
      <c r="AV187" s="16111"/>
      <c r="AW187" s="16111"/>
      <c r="AX187" s="16111"/>
      <c r="AY187" s="16111"/>
      <c r="AZ187" s="16111"/>
      <c r="BA187" s="16111"/>
      <c r="BB187" s="16112"/>
      <c r="BC187" s="16110"/>
      <c r="BD187" s="16111"/>
      <c r="BE187" s="16111"/>
      <c r="BF187" s="16111"/>
      <c r="BG187" s="16111"/>
      <c r="BH187" s="16111"/>
      <c r="BI187" s="16111"/>
      <c r="BJ187" s="16111"/>
      <c r="BK187" s="16111"/>
      <c r="BL187" s="16111"/>
      <c r="BM187" s="16112"/>
      <c r="BN187" s="16110"/>
      <c r="BO187" s="16111"/>
      <c r="BP187" s="16111"/>
      <c r="BQ187" s="16111"/>
      <c r="BR187" s="16111"/>
      <c r="BS187" s="16111"/>
      <c r="BT187" s="16111"/>
      <c r="BU187" s="16111"/>
      <c r="BV187" s="16111"/>
      <c r="BW187" s="16111"/>
      <c r="BX187" s="16112"/>
      <c r="BY187" s="16110"/>
      <c r="BZ187" s="16111"/>
      <c r="CA187" s="16111"/>
      <c r="CB187" s="16111"/>
      <c r="CC187" s="16111"/>
      <c r="CD187" s="16111"/>
      <c r="CE187" s="16111"/>
      <c r="CF187" s="16111"/>
      <c r="CG187" s="16111"/>
      <c r="CH187" s="16111"/>
      <c r="CI187" s="16112"/>
      <c r="CJ187" s="16110"/>
      <c r="CK187" s="16111"/>
      <c r="CL187" s="16111"/>
      <c r="CM187" s="16111"/>
      <c r="CN187" s="16111"/>
      <c r="CO187" s="16111"/>
      <c r="CP187" s="16111"/>
      <c r="CQ187" s="16111"/>
      <c r="CR187" s="16111"/>
      <c r="CS187" s="16111"/>
      <c r="CT187" s="16112"/>
      <c r="CU187" s="16110"/>
      <c r="CV187" s="16111"/>
      <c r="CW187" s="16111"/>
      <c r="CX187" s="16111"/>
      <c r="CY187" s="16111"/>
      <c r="CZ187" s="16111"/>
      <c r="DA187" s="16111"/>
      <c r="DB187" s="16111"/>
      <c r="DC187" s="16111"/>
      <c r="DD187" s="16111"/>
      <c r="DE187" s="16112"/>
      <c r="DF187" s="16110"/>
      <c r="DG187" s="16111"/>
      <c r="DH187" s="16111"/>
      <c r="DI187" s="16111"/>
      <c r="DJ187" s="16111"/>
      <c r="DK187" s="16111"/>
      <c r="DL187" s="16111"/>
      <c r="DM187" s="16111"/>
      <c r="DN187" s="16111"/>
      <c r="DO187" s="16111"/>
      <c r="DP187" s="16112"/>
      <c r="DQ187" s="16110"/>
      <c r="DR187" s="16111"/>
      <c r="DS187" s="16111"/>
      <c r="DT187" s="16111"/>
      <c r="DU187" s="16111"/>
      <c r="DV187" s="16111"/>
      <c r="DW187" s="16111"/>
      <c r="DX187" s="16111"/>
      <c r="DY187" s="16111"/>
      <c r="DZ187" s="16111"/>
      <c r="EA187" s="16112"/>
      <c r="EB187" s="16110"/>
      <c r="EC187" s="16111"/>
      <c r="ED187" s="16111"/>
      <c r="EE187" s="16111"/>
      <c r="EF187" s="16111"/>
      <c r="EG187" s="16111"/>
      <c r="EH187" s="16111"/>
      <c r="EI187" s="16111"/>
      <c r="EJ187" s="16111"/>
      <c r="EK187" s="16111"/>
      <c r="EL187" s="16112"/>
      <c r="EM187" s="16110"/>
      <c r="EN187" s="16111"/>
      <c r="EO187" s="16111"/>
      <c r="EP187" s="16111"/>
      <c r="EQ187" s="16111"/>
      <c r="ER187" s="16111"/>
      <c r="ES187" s="16111"/>
      <c r="ET187" s="16111"/>
      <c r="EU187" s="16111"/>
      <c r="EV187" s="16111"/>
      <c r="EW187" s="16112"/>
      <c r="EX187" s="16112"/>
      <c r="EY187" s="2511" t="s">
        <v>535</v>
      </c>
      <c r="EZ187" s="2199"/>
      <c r="FA187" s="2512"/>
      <c r="FB187" s="2512" t="str">
        <f t="shared" si="3"/>
        <v>Территория действия тарифа</v>
      </c>
      <c r="FC187" s="2512"/>
      <c r="FD187" s="2512"/>
    </row>
    <row r="188" spans="1:160" s="15124" customFormat="1" ht="23.25" customHeight="1">
      <c r="A188" s="2502"/>
      <c r="B188" s="2502"/>
      <c r="C188" s="2502" t="s">
        <v>339</v>
      </c>
      <c r="D188" s="2502"/>
      <c r="E188" s="16125"/>
      <c r="F188" s="16125" t="s">
        <v>102</v>
      </c>
      <c r="G188" s="16124">
        <v>1</v>
      </c>
      <c r="H188" s="2502"/>
      <c r="I188" s="2502"/>
      <c r="J188" s="2502"/>
      <c r="K188" s="2502"/>
      <c r="L188" s="2503"/>
      <c r="M188" s="2504"/>
      <c r="N188" s="2504"/>
      <c r="O188" s="2504"/>
      <c r="P188" s="2505"/>
      <c r="Q188" s="2506"/>
      <c r="R188" s="2507"/>
      <c r="S188" s="2508" t="str">
        <f>INDEX(PT_DIFFERENTIATION_NUM_CS,MATCH(C188,PT_DIFFERENTIATION_CS_ID,0))</f>
        <v>2.3.1</v>
      </c>
      <c r="T188" s="2509" t="s">
        <v>665</v>
      </c>
      <c r="U188" s="2510"/>
      <c r="V188" s="16110"/>
      <c r="W188" s="16111"/>
      <c r="X188" s="16111"/>
      <c r="Y188" s="16111"/>
      <c r="Z188" s="16111"/>
      <c r="AA188" s="16111"/>
      <c r="AB188" s="16111"/>
      <c r="AC188" s="16111"/>
      <c r="AD188" s="16111"/>
      <c r="AE188" s="16111"/>
      <c r="AF188" s="16112"/>
      <c r="AG188" s="16110" t="str">
        <f>INDEX(PT_DIFFERENTIATION_CS,MATCH(C188,PT_DIFFERENTIATION_CS_ID,0))</f>
        <v>н.п. Шонгуй</v>
      </c>
      <c r="AH188" s="16111"/>
      <c r="AI188" s="16111"/>
      <c r="AJ188" s="16111"/>
      <c r="AK188" s="16111"/>
      <c r="AL188" s="16111"/>
      <c r="AM188" s="16111"/>
      <c r="AN188" s="16111"/>
      <c r="AO188" s="16111"/>
      <c r="AP188" s="16111"/>
      <c r="AQ188" s="16111"/>
      <c r="AR188" s="16110"/>
      <c r="AS188" s="16111"/>
      <c r="AT188" s="16111"/>
      <c r="AU188" s="16111"/>
      <c r="AV188" s="16111"/>
      <c r="AW188" s="16111"/>
      <c r="AX188" s="16111"/>
      <c r="AY188" s="16111"/>
      <c r="AZ188" s="16111"/>
      <c r="BA188" s="16111"/>
      <c r="BB188" s="16112"/>
      <c r="BC188" s="16110"/>
      <c r="BD188" s="16111"/>
      <c r="BE188" s="16111"/>
      <c r="BF188" s="16111"/>
      <c r="BG188" s="16111"/>
      <c r="BH188" s="16111"/>
      <c r="BI188" s="16111"/>
      <c r="BJ188" s="16111"/>
      <c r="BK188" s="16111"/>
      <c r="BL188" s="16111"/>
      <c r="BM188" s="16112"/>
      <c r="BN188" s="16110"/>
      <c r="BO188" s="16111"/>
      <c r="BP188" s="16111"/>
      <c r="BQ188" s="16111"/>
      <c r="BR188" s="16111"/>
      <c r="BS188" s="16111"/>
      <c r="BT188" s="16111"/>
      <c r="BU188" s="16111"/>
      <c r="BV188" s="16111"/>
      <c r="BW188" s="16111"/>
      <c r="BX188" s="16112"/>
      <c r="BY188" s="16110"/>
      <c r="BZ188" s="16111"/>
      <c r="CA188" s="16111"/>
      <c r="CB188" s="16111"/>
      <c r="CC188" s="16111"/>
      <c r="CD188" s="16111"/>
      <c r="CE188" s="16111"/>
      <c r="CF188" s="16111"/>
      <c r="CG188" s="16111"/>
      <c r="CH188" s="16111"/>
      <c r="CI188" s="16112"/>
      <c r="CJ188" s="16110"/>
      <c r="CK188" s="16111"/>
      <c r="CL188" s="16111"/>
      <c r="CM188" s="16111"/>
      <c r="CN188" s="16111"/>
      <c r="CO188" s="16111"/>
      <c r="CP188" s="16111"/>
      <c r="CQ188" s="16111"/>
      <c r="CR188" s="16111"/>
      <c r="CS188" s="16111"/>
      <c r="CT188" s="16112"/>
      <c r="CU188" s="16110"/>
      <c r="CV188" s="16111"/>
      <c r="CW188" s="16111"/>
      <c r="CX188" s="16111"/>
      <c r="CY188" s="16111"/>
      <c r="CZ188" s="16111"/>
      <c r="DA188" s="16111"/>
      <c r="DB188" s="16111"/>
      <c r="DC188" s="16111"/>
      <c r="DD188" s="16111"/>
      <c r="DE188" s="16112"/>
      <c r="DF188" s="16110"/>
      <c r="DG188" s="16111"/>
      <c r="DH188" s="16111"/>
      <c r="DI188" s="16111"/>
      <c r="DJ188" s="16111"/>
      <c r="DK188" s="16111"/>
      <c r="DL188" s="16111"/>
      <c r="DM188" s="16111"/>
      <c r="DN188" s="16111"/>
      <c r="DO188" s="16111"/>
      <c r="DP188" s="16112"/>
      <c r="DQ188" s="16110"/>
      <c r="DR188" s="16111"/>
      <c r="DS188" s="16111"/>
      <c r="DT188" s="16111"/>
      <c r="DU188" s="16111"/>
      <c r="DV188" s="16111"/>
      <c r="DW188" s="16111"/>
      <c r="DX188" s="16111"/>
      <c r="DY188" s="16111"/>
      <c r="DZ188" s="16111"/>
      <c r="EA188" s="16112"/>
      <c r="EB188" s="16110"/>
      <c r="EC188" s="16111"/>
      <c r="ED188" s="16111"/>
      <c r="EE188" s="16111"/>
      <c r="EF188" s="16111"/>
      <c r="EG188" s="16111"/>
      <c r="EH188" s="16111"/>
      <c r="EI188" s="16111"/>
      <c r="EJ188" s="16111"/>
      <c r="EK188" s="16111"/>
      <c r="EL188" s="16112"/>
      <c r="EM188" s="16110"/>
      <c r="EN188" s="16111"/>
      <c r="EO188" s="16111"/>
      <c r="EP188" s="16111"/>
      <c r="EQ188" s="16111"/>
      <c r="ER188" s="16111"/>
      <c r="ES188" s="16111"/>
      <c r="ET188" s="16111"/>
      <c r="EU188" s="16111"/>
      <c r="EV188" s="16111"/>
      <c r="EW188" s="16112"/>
      <c r="EX188" s="16112"/>
      <c r="EY188" s="2511" t="s">
        <v>666</v>
      </c>
      <c r="EZ188" s="2199"/>
      <c r="FA188" s="2512"/>
      <c r="FB188" s="2512" t="str">
        <f t="shared" si="3"/>
        <v>Наименование централизованной системы горячего водоснабжения</v>
      </c>
      <c r="FC188" s="2512"/>
      <c r="FD188" s="2512"/>
    </row>
    <row r="189" spans="1:160" s="15125" customFormat="1" ht="23.25" customHeight="1">
      <c r="A189" s="2502"/>
      <c r="B189" s="2502"/>
      <c r="C189" s="2502"/>
      <c r="D189" s="2502"/>
      <c r="E189" s="16125"/>
      <c r="F189" s="16125" t="s">
        <v>102</v>
      </c>
      <c r="G189" s="16125"/>
      <c r="H189" s="16125"/>
      <c r="I189" s="16122" t="str">
        <f>S188&amp;".1"</f>
        <v>2.3.1.1</v>
      </c>
      <c r="J189" s="2502"/>
      <c r="K189" s="2502"/>
      <c r="L189" s="2503"/>
      <c r="M189" s="2513"/>
      <c r="N189" s="2513"/>
      <c r="O189" s="2513"/>
      <c r="P189" s="16123">
        <v>1</v>
      </c>
      <c r="Q189" s="2514"/>
      <c r="R189" s="2515"/>
      <c r="S189" s="2508" t="str">
        <f>$I189</f>
        <v>2.3.1.1</v>
      </c>
      <c r="T189" s="2516" t="s">
        <v>618</v>
      </c>
      <c r="U189" s="2510"/>
      <c r="V189" s="16183"/>
      <c r="W189" s="16184"/>
      <c r="X189" s="16184"/>
      <c r="Y189" s="16184"/>
      <c r="Z189" s="16184"/>
      <c r="AA189" s="16184"/>
      <c r="AB189" s="16184"/>
      <c r="AC189" s="16184"/>
      <c r="AD189" s="16184"/>
      <c r="AE189" s="16184"/>
      <c r="AF189" s="16185"/>
      <c r="AG189" s="16186"/>
      <c r="AH189" s="16187"/>
      <c r="AI189" s="16187"/>
      <c r="AJ189" s="16187"/>
      <c r="AK189" s="16187"/>
      <c r="AL189" s="16187"/>
      <c r="AM189" s="16187"/>
      <c r="AN189" s="16187"/>
      <c r="AO189" s="16187"/>
      <c r="AP189" s="16187"/>
      <c r="AQ189" s="16187"/>
      <c r="AR189" s="16183"/>
      <c r="AS189" s="16184"/>
      <c r="AT189" s="16184"/>
      <c r="AU189" s="16184"/>
      <c r="AV189" s="16184"/>
      <c r="AW189" s="16184"/>
      <c r="AX189" s="16184"/>
      <c r="AY189" s="16184"/>
      <c r="AZ189" s="16184"/>
      <c r="BA189" s="16184"/>
      <c r="BB189" s="16185"/>
      <c r="BC189" s="16183"/>
      <c r="BD189" s="16184"/>
      <c r="BE189" s="16184"/>
      <c r="BF189" s="16184"/>
      <c r="BG189" s="16184"/>
      <c r="BH189" s="16184"/>
      <c r="BI189" s="16184"/>
      <c r="BJ189" s="16184"/>
      <c r="BK189" s="16184"/>
      <c r="BL189" s="16184"/>
      <c r="BM189" s="16185"/>
      <c r="BN189" s="16183"/>
      <c r="BO189" s="16184"/>
      <c r="BP189" s="16184"/>
      <c r="BQ189" s="16184"/>
      <c r="BR189" s="16184"/>
      <c r="BS189" s="16184"/>
      <c r="BT189" s="16184"/>
      <c r="BU189" s="16184"/>
      <c r="BV189" s="16184"/>
      <c r="BW189" s="16184"/>
      <c r="BX189" s="16185"/>
      <c r="BY189" s="16183"/>
      <c r="BZ189" s="16184"/>
      <c r="CA189" s="16184"/>
      <c r="CB189" s="16184"/>
      <c r="CC189" s="16184"/>
      <c r="CD189" s="16184"/>
      <c r="CE189" s="16184"/>
      <c r="CF189" s="16184"/>
      <c r="CG189" s="16184"/>
      <c r="CH189" s="16184"/>
      <c r="CI189" s="16185"/>
      <c r="CJ189" s="16183"/>
      <c r="CK189" s="16184"/>
      <c r="CL189" s="16184"/>
      <c r="CM189" s="16184"/>
      <c r="CN189" s="16184"/>
      <c r="CO189" s="16184"/>
      <c r="CP189" s="16184"/>
      <c r="CQ189" s="16184"/>
      <c r="CR189" s="16184"/>
      <c r="CS189" s="16184"/>
      <c r="CT189" s="16185"/>
      <c r="CU189" s="16183"/>
      <c r="CV189" s="16184"/>
      <c r="CW189" s="16184"/>
      <c r="CX189" s="16184"/>
      <c r="CY189" s="16184"/>
      <c r="CZ189" s="16184"/>
      <c r="DA189" s="16184"/>
      <c r="DB189" s="16184"/>
      <c r="DC189" s="16184"/>
      <c r="DD189" s="16184"/>
      <c r="DE189" s="16185"/>
      <c r="DF189" s="16183"/>
      <c r="DG189" s="16184"/>
      <c r="DH189" s="16184"/>
      <c r="DI189" s="16184"/>
      <c r="DJ189" s="16184"/>
      <c r="DK189" s="16184"/>
      <c r="DL189" s="16184"/>
      <c r="DM189" s="16184"/>
      <c r="DN189" s="16184"/>
      <c r="DO189" s="16184"/>
      <c r="DP189" s="16185"/>
      <c r="DQ189" s="16183"/>
      <c r="DR189" s="16184"/>
      <c r="DS189" s="16184"/>
      <c r="DT189" s="16184"/>
      <c r="DU189" s="16184"/>
      <c r="DV189" s="16184"/>
      <c r="DW189" s="16184"/>
      <c r="DX189" s="16184"/>
      <c r="DY189" s="16184"/>
      <c r="DZ189" s="16184"/>
      <c r="EA189" s="16185"/>
      <c r="EB189" s="16183"/>
      <c r="EC189" s="16184"/>
      <c r="ED189" s="16184"/>
      <c r="EE189" s="16184"/>
      <c r="EF189" s="16184"/>
      <c r="EG189" s="16184"/>
      <c r="EH189" s="16184"/>
      <c r="EI189" s="16184"/>
      <c r="EJ189" s="16184"/>
      <c r="EK189" s="16184"/>
      <c r="EL189" s="16185"/>
      <c r="EM189" s="16183"/>
      <c r="EN189" s="16184"/>
      <c r="EO189" s="16184"/>
      <c r="EP189" s="16184"/>
      <c r="EQ189" s="16184"/>
      <c r="ER189" s="16184"/>
      <c r="ES189" s="16184"/>
      <c r="ET189" s="16184"/>
      <c r="EU189" s="16184"/>
      <c r="EV189" s="16184"/>
      <c r="EW189" s="16185"/>
      <c r="EX189" s="16188"/>
      <c r="EY189" s="2511" t="s">
        <v>619</v>
      </c>
      <c r="EZ189" s="2199"/>
      <c r="FA189" s="2512"/>
      <c r="FB189" s="2512" t="str">
        <f t="shared" si="3"/>
        <v>Наименование признака дифференциации</v>
      </c>
      <c r="FC189" s="2512"/>
      <c r="FD189" s="2512"/>
    </row>
    <row r="190" spans="1:160" s="15126" customFormat="1" ht="23.25" customHeight="1">
      <c r="A190" s="2502"/>
      <c r="B190" s="2502"/>
      <c r="C190" s="2502"/>
      <c r="D190" s="2502"/>
      <c r="E190" s="16125"/>
      <c r="F190" s="16125" t="s">
        <v>102</v>
      </c>
      <c r="G190" s="16125"/>
      <c r="H190" s="16125"/>
      <c r="I190" s="16145"/>
      <c r="J190" s="16122" t="str">
        <f>I189&amp;".1"</f>
        <v>2.3.1.1.1</v>
      </c>
      <c r="K190" s="2502"/>
      <c r="L190" s="2503" t="s">
        <v>543</v>
      </c>
      <c r="M190" s="2513"/>
      <c r="N190" s="2513"/>
      <c r="O190" s="2513"/>
      <c r="P190" s="16123"/>
      <c r="Q190" s="16123">
        <v>1</v>
      </c>
      <c r="R190" s="2517"/>
      <c r="S190" s="2508" t="str">
        <f>$J190</f>
        <v>2.3.1.1.1</v>
      </c>
      <c r="T190" s="2518" t="s">
        <v>544</v>
      </c>
      <c r="U190" s="2510"/>
      <c r="V190" s="16113"/>
      <c r="W190" s="16114"/>
      <c r="X190" s="16114"/>
      <c r="Y190" s="16114"/>
      <c r="Z190" s="16114"/>
      <c r="AA190" s="16114"/>
      <c r="AB190" s="16114"/>
      <c r="AC190" s="16114"/>
      <c r="AD190" s="16114"/>
      <c r="AE190" s="16114"/>
      <c r="AF190" s="16115"/>
      <c r="AG190" s="16113" t="s">
        <v>679</v>
      </c>
      <c r="AH190" s="16114"/>
      <c r="AI190" s="16114"/>
      <c r="AJ190" s="16114"/>
      <c r="AK190" s="16114"/>
      <c r="AL190" s="16114"/>
      <c r="AM190" s="16114"/>
      <c r="AN190" s="16114"/>
      <c r="AO190" s="16114"/>
      <c r="AP190" s="16114"/>
      <c r="AQ190" s="16114"/>
      <c r="AR190" s="16113"/>
      <c r="AS190" s="16114"/>
      <c r="AT190" s="16114"/>
      <c r="AU190" s="16114"/>
      <c r="AV190" s="16114"/>
      <c r="AW190" s="16114"/>
      <c r="AX190" s="16114"/>
      <c r="AY190" s="16114"/>
      <c r="AZ190" s="16114"/>
      <c r="BA190" s="16114"/>
      <c r="BB190" s="16115"/>
      <c r="BC190" s="16113"/>
      <c r="BD190" s="16114"/>
      <c r="BE190" s="16114"/>
      <c r="BF190" s="16114"/>
      <c r="BG190" s="16114"/>
      <c r="BH190" s="16114"/>
      <c r="BI190" s="16114"/>
      <c r="BJ190" s="16114"/>
      <c r="BK190" s="16114"/>
      <c r="BL190" s="16114"/>
      <c r="BM190" s="16115"/>
      <c r="BN190" s="16113"/>
      <c r="BO190" s="16114"/>
      <c r="BP190" s="16114"/>
      <c r="BQ190" s="16114"/>
      <c r="BR190" s="16114"/>
      <c r="BS190" s="16114"/>
      <c r="BT190" s="16114"/>
      <c r="BU190" s="16114"/>
      <c r="BV190" s="16114"/>
      <c r="BW190" s="16114"/>
      <c r="BX190" s="16115"/>
      <c r="BY190" s="16113"/>
      <c r="BZ190" s="16114"/>
      <c r="CA190" s="16114"/>
      <c r="CB190" s="16114"/>
      <c r="CC190" s="16114"/>
      <c r="CD190" s="16114"/>
      <c r="CE190" s="16114"/>
      <c r="CF190" s="16114"/>
      <c r="CG190" s="16114"/>
      <c r="CH190" s="16114"/>
      <c r="CI190" s="16115"/>
      <c r="CJ190" s="16113"/>
      <c r="CK190" s="16114"/>
      <c r="CL190" s="16114"/>
      <c r="CM190" s="16114"/>
      <c r="CN190" s="16114"/>
      <c r="CO190" s="16114"/>
      <c r="CP190" s="16114"/>
      <c r="CQ190" s="16114"/>
      <c r="CR190" s="16114"/>
      <c r="CS190" s="16114"/>
      <c r="CT190" s="16115"/>
      <c r="CU190" s="16113"/>
      <c r="CV190" s="16114"/>
      <c r="CW190" s="16114"/>
      <c r="CX190" s="16114"/>
      <c r="CY190" s="16114"/>
      <c r="CZ190" s="16114"/>
      <c r="DA190" s="16114"/>
      <c r="DB190" s="16114"/>
      <c r="DC190" s="16114"/>
      <c r="DD190" s="16114"/>
      <c r="DE190" s="16115"/>
      <c r="DF190" s="16113"/>
      <c r="DG190" s="16114"/>
      <c r="DH190" s="16114"/>
      <c r="DI190" s="16114"/>
      <c r="DJ190" s="16114"/>
      <c r="DK190" s="16114"/>
      <c r="DL190" s="16114"/>
      <c r="DM190" s="16114"/>
      <c r="DN190" s="16114"/>
      <c r="DO190" s="16114"/>
      <c r="DP190" s="16115"/>
      <c r="DQ190" s="16113"/>
      <c r="DR190" s="16114"/>
      <c r="DS190" s="16114"/>
      <c r="DT190" s="16114"/>
      <c r="DU190" s="16114"/>
      <c r="DV190" s="16114"/>
      <c r="DW190" s="16114"/>
      <c r="DX190" s="16114"/>
      <c r="DY190" s="16114"/>
      <c r="DZ190" s="16114"/>
      <c r="EA190" s="16115"/>
      <c r="EB190" s="16113"/>
      <c r="EC190" s="16114"/>
      <c r="ED190" s="16114"/>
      <c r="EE190" s="16114"/>
      <c r="EF190" s="16114"/>
      <c r="EG190" s="16114"/>
      <c r="EH190" s="16114"/>
      <c r="EI190" s="16114"/>
      <c r="EJ190" s="16114"/>
      <c r="EK190" s="16114"/>
      <c r="EL190" s="16115"/>
      <c r="EM190" s="16113"/>
      <c r="EN190" s="16114"/>
      <c r="EO190" s="16114"/>
      <c r="EP190" s="16114"/>
      <c r="EQ190" s="16114"/>
      <c r="ER190" s="16114"/>
      <c r="ES190" s="16114"/>
      <c r="ET190" s="16114"/>
      <c r="EU190" s="16114"/>
      <c r="EV190" s="16114"/>
      <c r="EW190" s="16115"/>
      <c r="EX190" s="16115"/>
      <c r="EY190" s="2519" t="s">
        <v>620</v>
      </c>
      <c r="EZ190" s="2199"/>
      <c r="FA190" s="2512"/>
      <c r="FB190" s="2512" t="str">
        <f t="shared" si="3"/>
        <v>Группа потребителей</v>
      </c>
      <c r="FC190" s="2512"/>
      <c r="FD190" s="2512"/>
    </row>
    <row r="191" spans="1:160" s="15127" customFormat="1" ht="23.25" customHeight="1">
      <c r="A191" s="2502"/>
      <c r="B191" s="2502"/>
      <c r="C191" s="2502"/>
      <c r="D191" s="2502"/>
      <c r="E191" s="16125"/>
      <c r="F191" s="16125" t="s">
        <v>102</v>
      </c>
      <c r="G191" s="16125"/>
      <c r="H191" s="16125"/>
      <c r="I191" s="16145"/>
      <c r="J191" s="16145"/>
      <c r="K191" s="16122" t="str">
        <f>J190&amp;".1"</f>
        <v>2.3.1.1.1.1</v>
      </c>
      <c r="L191" s="2503"/>
      <c r="M191" s="2513"/>
      <c r="N191" s="2513"/>
      <c r="O191" s="2513"/>
      <c r="P191" s="16123"/>
      <c r="Q191" s="16123"/>
      <c r="R191" s="2517">
        <v>1</v>
      </c>
      <c r="S191" s="2508" t="str">
        <f>$K191</f>
        <v>2.3.1.1.1.1</v>
      </c>
      <c r="T191" s="2520"/>
      <c r="U191" s="2510"/>
      <c r="V191" s="1893"/>
      <c r="W191" s="1893"/>
      <c r="X191" s="1893"/>
      <c r="Y191" s="1893"/>
      <c r="Z191" s="1893"/>
      <c r="AA191" s="1893"/>
      <c r="AB191" s="1893"/>
      <c r="AC191" s="16127"/>
      <c r="AD191" s="15973" t="s">
        <v>66</v>
      </c>
      <c r="AE191" s="16127"/>
      <c r="AF191" s="15973" t="s">
        <v>66</v>
      </c>
      <c r="AG191" s="1893">
        <v>35.07</v>
      </c>
      <c r="AH191" s="1893"/>
      <c r="AI191" s="1893"/>
      <c r="AJ191" s="1893"/>
      <c r="AK191" s="1893">
        <v>5493.65</v>
      </c>
      <c r="AL191" s="1893"/>
      <c r="AM191" s="1893"/>
      <c r="AN191" s="16127">
        <v>45292</v>
      </c>
      <c r="AO191" s="15973" t="s">
        <v>66</v>
      </c>
      <c r="AP191" s="16146">
        <v>45378</v>
      </c>
      <c r="AQ191" s="15973" t="s">
        <v>66</v>
      </c>
      <c r="AR191" s="1893">
        <v>35.07</v>
      </c>
      <c r="AS191" s="1893"/>
      <c r="AT191" s="1893"/>
      <c r="AU191" s="1893"/>
      <c r="AV191" s="1893">
        <v>5493.65</v>
      </c>
      <c r="AW191" s="1893"/>
      <c r="AX191" s="1893"/>
      <c r="AY191" s="16127">
        <v>45379</v>
      </c>
      <c r="AZ191" s="15973" t="s">
        <v>66</v>
      </c>
      <c r="BA191" s="16127">
        <v>45473</v>
      </c>
      <c r="BB191" s="15973" t="s">
        <v>66</v>
      </c>
      <c r="BC191" s="1893">
        <v>38.96</v>
      </c>
      <c r="BD191" s="1893"/>
      <c r="BE191" s="1893"/>
      <c r="BF191" s="1893"/>
      <c r="BG191" s="1893">
        <v>5493.65</v>
      </c>
      <c r="BH191" s="1893"/>
      <c r="BI191" s="1893"/>
      <c r="BJ191" s="16127">
        <v>45474</v>
      </c>
      <c r="BK191" s="15973" t="s">
        <v>66</v>
      </c>
      <c r="BL191" s="16127">
        <v>45657</v>
      </c>
      <c r="BM191" s="15973" t="s">
        <v>66</v>
      </c>
      <c r="BN191" s="1893">
        <v>37.31</v>
      </c>
      <c r="BO191" s="1893"/>
      <c r="BP191" s="1893"/>
      <c r="BQ191" s="1893"/>
      <c r="BR191" s="1893">
        <v>5407.73</v>
      </c>
      <c r="BS191" s="1893"/>
      <c r="BT191" s="1893"/>
      <c r="BU191" s="16127">
        <v>45658</v>
      </c>
      <c r="BV191" s="15973" t="s">
        <v>66</v>
      </c>
      <c r="BW191" s="16127">
        <v>45838</v>
      </c>
      <c r="BX191" s="15973" t="s">
        <v>66</v>
      </c>
      <c r="BY191" s="1893">
        <v>37.369999999999997</v>
      </c>
      <c r="BZ191" s="1893"/>
      <c r="CA191" s="1893"/>
      <c r="CB191" s="1893"/>
      <c r="CC191" s="1893">
        <v>5407.73</v>
      </c>
      <c r="CD191" s="1893"/>
      <c r="CE191" s="1893"/>
      <c r="CF191" s="16127">
        <v>45839</v>
      </c>
      <c r="CG191" s="15973" t="s">
        <v>66</v>
      </c>
      <c r="CH191" s="16127">
        <v>46022</v>
      </c>
      <c r="CI191" s="15973" t="s">
        <v>66</v>
      </c>
      <c r="CJ191" s="1893">
        <v>37.369999999999997</v>
      </c>
      <c r="CK191" s="1893"/>
      <c r="CL191" s="1893"/>
      <c r="CM191" s="1893"/>
      <c r="CN191" s="1893">
        <v>5407.73</v>
      </c>
      <c r="CO191" s="1893"/>
      <c r="CP191" s="1893"/>
      <c r="CQ191" s="16127">
        <v>46023</v>
      </c>
      <c r="CR191" s="15973" t="s">
        <v>66</v>
      </c>
      <c r="CS191" s="16127">
        <v>46203</v>
      </c>
      <c r="CT191" s="15973" t="s">
        <v>66</v>
      </c>
      <c r="CU191" s="1893">
        <v>39.51</v>
      </c>
      <c r="CV191" s="1893"/>
      <c r="CW191" s="1893"/>
      <c r="CX191" s="1893"/>
      <c r="CY191" s="1893">
        <v>5669.49</v>
      </c>
      <c r="CZ191" s="1893"/>
      <c r="DA191" s="1893"/>
      <c r="DB191" s="16127">
        <v>46204</v>
      </c>
      <c r="DC191" s="15973" t="s">
        <v>66</v>
      </c>
      <c r="DD191" s="16127">
        <v>46387</v>
      </c>
      <c r="DE191" s="15973" t="s">
        <v>66</v>
      </c>
      <c r="DF191" s="1893">
        <v>39.51</v>
      </c>
      <c r="DG191" s="1893"/>
      <c r="DH191" s="1893"/>
      <c r="DI191" s="1893"/>
      <c r="DJ191" s="1893">
        <v>5669.49</v>
      </c>
      <c r="DK191" s="1893"/>
      <c r="DL191" s="1893"/>
      <c r="DM191" s="16127">
        <v>46388</v>
      </c>
      <c r="DN191" s="15973" t="s">
        <v>66</v>
      </c>
      <c r="DO191" s="16127">
        <v>46568</v>
      </c>
      <c r="DP191" s="15973" t="s">
        <v>66</v>
      </c>
      <c r="DQ191" s="1893">
        <v>39.82</v>
      </c>
      <c r="DR191" s="1893"/>
      <c r="DS191" s="1893"/>
      <c r="DT191" s="1893"/>
      <c r="DU191" s="1893">
        <v>5679.48</v>
      </c>
      <c r="DV191" s="1893"/>
      <c r="DW191" s="1893"/>
      <c r="DX191" s="16127">
        <v>46569</v>
      </c>
      <c r="DY191" s="15973" t="s">
        <v>66</v>
      </c>
      <c r="DZ191" s="16127">
        <v>46752</v>
      </c>
      <c r="EA191" s="15973" t="s">
        <v>66</v>
      </c>
      <c r="EB191" s="1893">
        <v>39.82</v>
      </c>
      <c r="EC191" s="1893"/>
      <c r="ED191" s="1893"/>
      <c r="EE191" s="1893"/>
      <c r="EF191" s="1893">
        <v>5679.48</v>
      </c>
      <c r="EG191" s="1893"/>
      <c r="EH191" s="1893"/>
      <c r="EI191" s="16127">
        <v>46753</v>
      </c>
      <c r="EJ191" s="15973" t="s">
        <v>66</v>
      </c>
      <c r="EK191" s="16127">
        <v>46934</v>
      </c>
      <c r="EL191" s="15973" t="s">
        <v>66</v>
      </c>
      <c r="EM191" s="14448">
        <v>41.41</v>
      </c>
      <c r="EN191" s="14448"/>
      <c r="EO191" s="14448"/>
      <c r="EP191" s="14448"/>
      <c r="EQ191" s="14448">
        <v>5970.45</v>
      </c>
      <c r="ER191" s="14448"/>
      <c r="ES191" s="14448"/>
      <c r="ET191" s="16127">
        <v>46935</v>
      </c>
      <c r="EU191" s="15973" t="s">
        <v>66</v>
      </c>
      <c r="EV191" s="16127">
        <v>47118</v>
      </c>
      <c r="EW191" s="15973" t="s">
        <v>66</v>
      </c>
      <c r="EX191" s="2521"/>
      <c r="EY19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191" s="2199" t="e">
        <f ca="1">STRCHECKDATE(V192:EX192)</f>
        <v>#NAME?</v>
      </c>
      <c r="FA191" s="2512"/>
      <c r="FB191" s="2512" t="str">
        <f t="shared" si="3"/>
        <v/>
      </c>
      <c r="FC191" s="2512"/>
      <c r="FD191" s="2512"/>
    </row>
    <row r="192" spans="1:160" s="15128" customFormat="1" ht="14.25" customHeight="1">
      <c r="A192" s="2502"/>
      <c r="B192" s="2502"/>
      <c r="C192" s="2502"/>
      <c r="D192" s="2502"/>
      <c r="E192" s="16125"/>
      <c r="F192" s="16125" t="s">
        <v>102</v>
      </c>
      <c r="G192" s="16125"/>
      <c r="H192" s="16125"/>
      <c r="I192" s="16145"/>
      <c r="J192" s="16145"/>
      <c r="K192" s="16122"/>
      <c r="L192" s="2503"/>
      <c r="M192" s="2513"/>
      <c r="N192" s="2513"/>
      <c r="O192" s="2513"/>
      <c r="P192" s="16123"/>
      <c r="Q192" s="16123"/>
      <c r="R192" s="2517"/>
      <c r="S192" s="2522"/>
      <c r="T192" s="2510"/>
      <c r="U192" s="2510"/>
      <c r="V192" s="1894"/>
      <c r="W192" s="1894"/>
      <c r="X192" s="1894"/>
      <c r="Y192" s="1894"/>
      <c r="Z192" s="1894"/>
      <c r="AA192" s="1894"/>
      <c r="AB192" s="1894"/>
      <c r="AC192" s="16128"/>
      <c r="AD192" s="15973"/>
      <c r="AE192" s="16128"/>
      <c r="AF192" s="15973"/>
      <c r="AG192" s="1894"/>
      <c r="AH192" s="1894"/>
      <c r="AI192" s="1894"/>
      <c r="AJ192" s="1894"/>
      <c r="AK192" s="1894"/>
      <c r="AL192" s="1894"/>
      <c r="AM192" s="1894"/>
      <c r="AN192" s="16128"/>
      <c r="AO192" s="15973"/>
      <c r="AP192" s="16147"/>
      <c r="AQ192" s="15973"/>
      <c r="AR192" s="1894"/>
      <c r="AS192" s="1894"/>
      <c r="AT192" s="1894"/>
      <c r="AU192" s="1894"/>
      <c r="AV192" s="1894"/>
      <c r="AW192" s="1894"/>
      <c r="AX192" s="1894"/>
      <c r="AY192" s="16128"/>
      <c r="AZ192" s="15973"/>
      <c r="BA192" s="16128"/>
      <c r="BB192" s="15973"/>
      <c r="BC192" s="1894"/>
      <c r="BD192" s="1894"/>
      <c r="BE192" s="1894"/>
      <c r="BF192" s="1894"/>
      <c r="BG192" s="1894"/>
      <c r="BH192" s="1894"/>
      <c r="BI192" s="1894"/>
      <c r="BJ192" s="16128"/>
      <c r="BK192" s="15973"/>
      <c r="BL192" s="16128"/>
      <c r="BM192" s="15973"/>
      <c r="BN192" s="1894"/>
      <c r="BO192" s="1894"/>
      <c r="BP192" s="1894"/>
      <c r="BQ192" s="1894"/>
      <c r="BR192" s="1894"/>
      <c r="BS192" s="1894"/>
      <c r="BT192" s="1894"/>
      <c r="BU192" s="16128"/>
      <c r="BV192" s="15973"/>
      <c r="BW192" s="16128"/>
      <c r="BX192" s="15973"/>
      <c r="BY192" s="1894"/>
      <c r="BZ192" s="1894"/>
      <c r="CA192" s="1894"/>
      <c r="CB192" s="1894"/>
      <c r="CC192" s="1894"/>
      <c r="CD192" s="1894"/>
      <c r="CE192" s="1894"/>
      <c r="CF192" s="16128"/>
      <c r="CG192" s="15973"/>
      <c r="CH192" s="16128"/>
      <c r="CI192" s="15973"/>
      <c r="CJ192" s="1894"/>
      <c r="CK192" s="1894"/>
      <c r="CL192" s="1894"/>
      <c r="CM192" s="1894"/>
      <c r="CN192" s="1894"/>
      <c r="CO192" s="1894"/>
      <c r="CP192" s="1894"/>
      <c r="CQ192" s="16128"/>
      <c r="CR192" s="15973"/>
      <c r="CS192" s="16128"/>
      <c r="CT192" s="15973"/>
      <c r="CU192" s="1894"/>
      <c r="CV192" s="1894"/>
      <c r="CW192" s="1894"/>
      <c r="CX192" s="1894"/>
      <c r="CY192" s="1894"/>
      <c r="CZ192" s="1894"/>
      <c r="DA192" s="1894"/>
      <c r="DB192" s="16128"/>
      <c r="DC192" s="15973"/>
      <c r="DD192" s="16128"/>
      <c r="DE192" s="15973"/>
      <c r="DF192" s="1894"/>
      <c r="DG192" s="1894"/>
      <c r="DH192" s="1894"/>
      <c r="DI192" s="1894"/>
      <c r="DJ192" s="1894"/>
      <c r="DK192" s="1894"/>
      <c r="DL192" s="1894"/>
      <c r="DM192" s="16128"/>
      <c r="DN192" s="15973"/>
      <c r="DO192" s="16128"/>
      <c r="DP192" s="15973"/>
      <c r="DQ192" s="1894"/>
      <c r="DR192" s="1894"/>
      <c r="DS192" s="1894"/>
      <c r="DT192" s="1894"/>
      <c r="DU192" s="1894"/>
      <c r="DV192" s="1894"/>
      <c r="DW192" s="1894"/>
      <c r="DX192" s="16128"/>
      <c r="DY192" s="15973"/>
      <c r="DZ192" s="16128"/>
      <c r="EA192" s="15973"/>
      <c r="EB192" s="1894"/>
      <c r="EC192" s="1894"/>
      <c r="ED192" s="1894"/>
      <c r="EE192" s="1894"/>
      <c r="EF192" s="1894"/>
      <c r="EG192" s="1894"/>
      <c r="EH192" s="1894"/>
      <c r="EI192" s="16128"/>
      <c r="EJ192" s="15973"/>
      <c r="EK192" s="16128"/>
      <c r="EL192" s="15973"/>
      <c r="EM192" s="14449"/>
      <c r="EN192" s="14449"/>
      <c r="EO192" s="14449"/>
      <c r="EP192" s="14449"/>
      <c r="EQ192" s="14449"/>
      <c r="ER192" s="14449"/>
      <c r="ES192" s="14449"/>
      <c r="ET192" s="16128"/>
      <c r="EU192" s="15973"/>
      <c r="EV192" s="16128"/>
      <c r="EW192" s="15973"/>
      <c r="EX192" s="2523"/>
      <c r="EY192" s="16182"/>
      <c r="EZ192" s="2199"/>
      <c r="FA192" s="2512"/>
      <c r="FB192" s="2512" t="str">
        <f t="shared" si="3"/>
        <v/>
      </c>
      <c r="FC192" s="2512"/>
      <c r="FD192" s="2512"/>
    </row>
    <row r="193" spans="1:160" s="15129" customFormat="1" ht="21" customHeight="1">
      <c r="A193" s="2502"/>
      <c r="B193" s="2502"/>
      <c r="C193" s="2502"/>
      <c r="D193" s="2502"/>
      <c r="E193" s="16125"/>
      <c r="F193" s="16125" t="s">
        <v>102</v>
      </c>
      <c r="G193" s="16125"/>
      <c r="H193" s="16125"/>
      <c r="I193" s="16145"/>
      <c r="J193" s="16122"/>
      <c r="K193" s="2502"/>
      <c r="L193" s="2503"/>
      <c r="M193" s="2513"/>
      <c r="N193" s="2513"/>
      <c r="O193" s="2513"/>
      <c r="P193" s="16123"/>
      <c r="Q193" s="16123"/>
      <c r="R193" s="2515"/>
      <c r="S193" s="7816"/>
      <c r="T193" s="7817" t="s">
        <v>621</v>
      </c>
      <c r="U193" s="7818"/>
      <c r="V193" s="7819"/>
      <c r="W193" s="7820"/>
      <c r="X193" s="7821"/>
      <c r="Y193" s="7822"/>
      <c r="Z193" s="7823"/>
      <c r="AA193" s="7824"/>
      <c r="AB193" s="7825"/>
      <c r="AC193" s="7826"/>
      <c r="AD193" s="7827"/>
      <c r="AE193" s="7828"/>
      <c r="AF193" s="7829"/>
      <c r="AG193" s="7830"/>
      <c r="AH193" s="7831"/>
      <c r="AI193" s="7832"/>
      <c r="AJ193" s="7833"/>
      <c r="AK193" s="7834"/>
      <c r="AL193" s="7835"/>
      <c r="AM193" s="7836"/>
      <c r="AN193" s="7837"/>
      <c r="AO193" s="7838"/>
      <c r="AP193" s="7839"/>
      <c r="AQ193" s="7840"/>
      <c r="AR193" s="7841"/>
      <c r="AS193" s="7842"/>
      <c r="AT193" s="7843"/>
      <c r="AU193" s="7844"/>
      <c r="AV193" s="7845"/>
      <c r="AW193" s="7846"/>
      <c r="AX193" s="7847"/>
      <c r="AY193" s="7848"/>
      <c r="AZ193" s="7849"/>
      <c r="BA193" s="7850"/>
      <c r="BB193" s="7851"/>
      <c r="BC193" s="7852"/>
      <c r="BD193" s="7853"/>
      <c r="BE193" s="7854"/>
      <c r="BF193" s="7855"/>
      <c r="BG193" s="7856"/>
      <c r="BH193" s="7857"/>
      <c r="BI193" s="7858"/>
      <c r="BJ193" s="7859"/>
      <c r="BK193" s="7860"/>
      <c r="BL193" s="7861"/>
      <c r="BM193" s="7862"/>
      <c r="BN193" s="7863"/>
      <c r="BO193" s="7864"/>
      <c r="BP193" s="7865"/>
      <c r="BQ193" s="7866"/>
      <c r="BR193" s="7867"/>
      <c r="BS193" s="7868"/>
      <c r="BT193" s="7869"/>
      <c r="BU193" s="7870"/>
      <c r="BV193" s="7871"/>
      <c r="BW193" s="7872"/>
      <c r="BX193" s="7873"/>
      <c r="BY193" s="7874"/>
      <c r="BZ193" s="7875"/>
      <c r="CA193" s="7876"/>
      <c r="CB193" s="7877"/>
      <c r="CC193" s="7878"/>
      <c r="CD193" s="7879"/>
      <c r="CE193" s="7880"/>
      <c r="CF193" s="7881"/>
      <c r="CG193" s="7882"/>
      <c r="CH193" s="7883"/>
      <c r="CI193" s="7884"/>
      <c r="CJ193" s="7885"/>
      <c r="CK193" s="7886"/>
      <c r="CL193" s="7887"/>
      <c r="CM193" s="7888"/>
      <c r="CN193" s="7889"/>
      <c r="CO193" s="7890"/>
      <c r="CP193" s="7891"/>
      <c r="CQ193" s="7892"/>
      <c r="CR193" s="7893"/>
      <c r="CS193" s="7894"/>
      <c r="CT193" s="7895"/>
      <c r="CU193" s="7896"/>
      <c r="CV193" s="7897"/>
      <c r="CW193" s="7898"/>
      <c r="CX193" s="7899"/>
      <c r="CY193" s="7900"/>
      <c r="CZ193" s="7901"/>
      <c r="DA193" s="7902"/>
      <c r="DB193" s="7903"/>
      <c r="DC193" s="7904"/>
      <c r="DD193" s="7905"/>
      <c r="DE193" s="7906"/>
      <c r="DF193" s="7907"/>
      <c r="DG193" s="7908"/>
      <c r="DH193" s="7909"/>
      <c r="DI193" s="7910"/>
      <c r="DJ193" s="7911"/>
      <c r="DK193" s="7912"/>
      <c r="DL193" s="7913"/>
      <c r="DM193" s="7914"/>
      <c r="DN193" s="7915"/>
      <c r="DO193" s="7916"/>
      <c r="DP193" s="7917"/>
      <c r="DQ193" s="7918"/>
      <c r="DR193" s="7919"/>
      <c r="DS193" s="7920"/>
      <c r="DT193" s="7921"/>
      <c r="DU193" s="7922"/>
      <c r="DV193" s="7923"/>
      <c r="DW193" s="7924"/>
      <c r="DX193" s="7925"/>
      <c r="DY193" s="7926"/>
      <c r="DZ193" s="7927"/>
      <c r="EA193" s="7928"/>
      <c r="EB193" s="7929"/>
      <c r="EC193" s="7930"/>
      <c r="ED193" s="7931"/>
      <c r="EE193" s="7932"/>
      <c r="EF193" s="7933"/>
      <c r="EG193" s="7934"/>
      <c r="EH193" s="7935"/>
      <c r="EI193" s="7936"/>
      <c r="EJ193" s="7937"/>
      <c r="EK193" s="7938"/>
      <c r="EL193" s="7939"/>
      <c r="EM193" s="15130"/>
      <c r="EN193" s="15131"/>
      <c r="EO193" s="15132"/>
      <c r="EP193" s="15133"/>
      <c r="EQ193" s="15134"/>
      <c r="ER193" s="15135"/>
      <c r="ES193" s="15136"/>
      <c r="ET193" s="15137"/>
      <c r="EU193" s="15138"/>
      <c r="EV193" s="15139"/>
      <c r="EW193" s="15140"/>
      <c r="EX193" s="7940"/>
      <c r="EY193" s="2511" t="s">
        <v>622</v>
      </c>
      <c r="EZ193" s="2199"/>
      <c r="FA193" s="2512"/>
      <c r="FB193" s="2512" t="str">
        <f t="shared" si="3"/>
        <v>Добавить значение признака дифференциации</v>
      </c>
      <c r="FC193" s="2512"/>
      <c r="FD193" s="2512"/>
    </row>
    <row r="194" spans="1:160" s="15141" customFormat="1" ht="21" customHeight="1">
      <c r="A194" s="2502"/>
      <c r="B194" s="2502"/>
      <c r="C194" s="2502"/>
      <c r="D194" s="2502"/>
      <c r="E194" s="16125"/>
      <c r="F194" s="16125" t="s">
        <v>102</v>
      </c>
      <c r="G194" s="16125"/>
      <c r="H194" s="16125"/>
      <c r="I194" s="16122"/>
      <c r="J194" s="2502"/>
      <c r="K194" s="2502"/>
      <c r="L194" s="2503"/>
      <c r="M194" s="2513"/>
      <c r="N194" s="2513"/>
      <c r="O194" s="2513"/>
      <c r="P194" s="16123"/>
      <c r="Q194" s="2514"/>
      <c r="R194" s="2515"/>
      <c r="S194" s="7941"/>
      <c r="T194" s="7942" t="s">
        <v>549</v>
      </c>
      <c r="U194" s="7943"/>
      <c r="V194" s="7944"/>
      <c r="W194" s="7945"/>
      <c r="X194" s="7946"/>
      <c r="Y194" s="7947"/>
      <c r="Z194" s="7948"/>
      <c r="AA194" s="7949"/>
      <c r="AB194" s="7950"/>
      <c r="AC194" s="7951"/>
      <c r="AD194" s="7952"/>
      <c r="AE194" s="7953"/>
      <c r="AF194" s="7954"/>
      <c r="AG194" s="7955"/>
      <c r="AH194" s="7956"/>
      <c r="AI194" s="7957"/>
      <c r="AJ194" s="7958"/>
      <c r="AK194" s="7959"/>
      <c r="AL194" s="7960"/>
      <c r="AM194" s="7961"/>
      <c r="AN194" s="7962"/>
      <c r="AO194" s="7963"/>
      <c r="AP194" s="7964"/>
      <c r="AQ194" s="7965"/>
      <c r="AR194" s="7966"/>
      <c r="AS194" s="7967"/>
      <c r="AT194" s="7968"/>
      <c r="AU194" s="7969"/>
      <c r="AV194" s="7970"/>
      <c r="AW194" s="7971"/>
      <c r="AX194" s="7972"/>
      <c r="AY194" s="7973"/>
      <c r="AZ194" s="7974"/>
      <c r="BA194" s="7975"/>
      <c r="BB194" s="7976"/>
      <c r="BC194" s="7977"/>
      <c r="BD194" s="7978"/>
      <c r="BE194" s="7979"/>
      <c r="BF194" s="7980"/>
      <c r="BG194" s="7981"/>
      <c r="BH194" s="7982"/>
      <c r="BI194" s="7983"/>
      <c r="BJ194" s="7984"/>
      <c r="BK194" s="7985"/>
      <c r="BL194" s="7986"/>
      <c r="BM194" s="7987"/>
      <c r="BN194" s="7988"/>
      <c r="BO194" s="7989"/>
      <c r="BP194" s="7990"/>
      <c r="BQ194" s="7991"/>
      <c r="BR194" s="7992"/>
      <c r="BS194" s="7993"/>
      <c r="BT194" s="7994"/>
      <c r="BU194" s="7995"/>
      <c r="BV194" s="7996"/>
      <c r="BW194" s="7997"/>
      <c r="BX194" s="7998"/>
      <c r="BY194" s="7999"/>
      <c r="BZ194" s="8000"/>
      <c r="CA194" s="8001"/>
      <c r="CB194" s="8002"/>
      <c r="CC194" s="8003"/>
      <c r="CD194" s="8004"/>
      <c r="CE194" s="8005"/>
      <c r="CF194" s="8006"/>
      <c r="CG194" s="8007"/>
      <c r="CH194" s="8008"/>
      <c r="CI194" s="8009"/>
      <c r="CJ194" s="8010"/>
      <c r="CK194" s="8011"/>
      <c r="CL194" s="8012"/>
      <c r="CM194" s="8013"/>
      <c r="CN194" s="8014"/>
      <c r="CO194" s="8015"/>
      <c r="CP194" s="8016"/>
      <c r="CQ194" s="8017"/>
      <c r="CR194" s="8018"/>
      <c r="CS194" s="8019"/>
      <c r="CT194" s="8020"/>
      <c r="CU194" s="8021"/>
      <c r="CV194" s="8022"/>
      <c r="CW194" s="8023"/>
      <c r="CX194" s="8024"/>
      <c r="CY194" s="8025"/>
      <c r="CZ194" s="8026"/>
      <c r="DA194" s="8027"/>
      <c r="DB194" s="8028"/>
      <c r="DC194" s="8029"/>
      <c r="DD194" s="8030"/>
      <c r="DE194" s="8031"/>
      <c r="DF194" s="8032"/>
      <c r="DG194" s="8033"/>
      <c r="DH194" s="8034"/>
      <c r="DI194" s="8035"/>
      <c r="DJ194" s="8036"/>
      <c r="DK194" s="8037"/>
      <c r="DL194" s="8038"/>
      <c r="DM194" s="8039"/>
      <c r="DN194" s="8040"/>
      <c r="DO194" s="8041"/>
      <c r="DP194" s="8042"/>
      <c r="DQ194" s="8043"/>
      <c r="DR194" s="8044"/>
      <c r="DS194" s="8045"/>
      <c r="DT194" s="8046"/>
      <c r="DU194" s="8047"/>
      <c r="DV194" s="8048"/>
      <c r="DW194" s="8049"/>
      <c r="DX194" s="8050"/>
      <c r="DY194" s="8051"/>
      <c r="DZ194" s="8052"/>
      <c r="EA194" s="8053"/>
      <c r="EB194" s="8054"/>
      <c r="EC194" s="8055"/>
      <c r="ED194" s="8056"/>
      <c r="EE194" s="8057"/>
      <c r="EF194" s="8058"/>
      <c r="EG194" s="8059"/>
      <c r="EH194" s="8060"/>
      <c r="EI194" s="8061"/>
      <c r="EJ194" s="8062"/>
      <c r="EK194" s="8063"/>
      <c r="EL194" s="8064"/>
      <c r="EM194" s="15142"/>
      <c r="EN194" s="15143"/>
      <c r="EO194" s="15144"/>
      <c r="EP194" s="15145"/>
      <c r="EQ194" s="15146"/>
      <c r="ER194" s="15147"/>
      <c r="ES194" s="15148"/>
      <c r="ET194" s="15149"/>
      <c r="EU194" s="15150"/>
      <c r="EV194" s="15151"/>
      <c r="EW194" s="15152"/>
      <c r="EX194" s="8065"/>
      <c r="EY194" s="8066"/>
      <c r="EZ194" s="2199"/>
      <c r="FA194" s="2512"/>
      <c r="FB194" s="2512" t="str">
        <f t="shared" si="3"/>
        <v>Добавить группу потребителей</v>
      </c>
      <c r="FC194" s="2512"/>
      <c r="FD194" s="2512"/>
    </row>
    <row r="195" spans="1:160" s="15153" customFormat="1" ht="21" customHeight="1">
      <c r="A195" s="2502"/>
      <c r="B195" s="2502"/>
      <c r="C195" s="2502"/>
      <c r="D195" s="2502"/>
      <c r="E195" s="16125"/>
      <c r="F195" s="16125" t="s">
        <v>102</v>
      </c>
      <c r="G195" s="16125"/>
      <c r="H195" s="16124"/>
      <c r="I195" s="2502"/>
      <c r="J195" s="2502"/>
      <c r="K195" s="2502"/>
      <c r="L195" s="2503"/>
      <c r="M195" s="2504"/>
      <c r="N195" s="2504"/>
      <c r="O195" s="2193"/>
      <c r="P195" s="2775"/>
      <c r="Q195" s="2776"/>
      <c r="R195" s="2777"/>
      <c r="S195" s="8067"/>
      <c r="T195" s="8068" t="s">
        <v>623</v>
      </c>
      <c r="U195" s="8069"/>
      <c r="V195" s="8070"/>
      <c r="W195" s="8071"/>
      <c r="X195" s="8072"/>
      <c r="Y195" s="8073"/>
      <c r="Z195" s="8074"/>
      <c r="AA195" s="8075"/>
      <c r="AB195" s="8076"/>
      <c r="AC195" s="8077"/>
      <c r="AD195" s="8078"/>
      <c r="AE195" s="8079"/>
      <c r="AF195" s="8080"/>
      <c r="AG195" s="8081"/>
      <c r="AH195" s="8082"/>
      <c r="AI195" s="8083"/>
      <c r="AJ195" s="8084"/>
      <c r="AK195" s="8085"/>
      <c r="AL195" s="8086"/>
      <c r="AM195" s="8087"/>
      <c r="AN195" s="8088"/>
      <c r="AO195" s="8089"/>
      <c r="AP195" s="8090"/>
      <c r="AQ195" s="8091"/>
      <c r="AR195" s="8092"/>
      <c r="AS195" s="8093"/>
      <c r="AT195" s="8094"/>
      <c r="AU195" s="8095"/>
      <c r="AV195" s="8096"/>
      <c r="AW195" s="8097"/>
      <c r="AX195" s="8098"/>
      <c r="AY195" s="8099"/>
      <c r="AZ195" s="8100"/>
      <c r="BA195" s="8101"/>
      <c r="BB195" s="8102"/>
      <c r="BC195" s="8103"/>
      <c r="BD195" s="8104"/>
      <c r="BE195" s="8105"/>
      <c r="BF195" s="8106"/>
      <c r="BG195" s="8107"/>
      <c r="BH195" s="8108"/>
      <c r="BI195" s="8109"/>
      <c r="BJ195" s="8110"/>
      <c r="BK195" s="8111"/>
      <c r="BL195" s="8112"/>
      <c r="BM195" s="8113"/>
      <c r="BN195" s="8114"/>
      <c r="BO195" s="8115"/>
      <c r="BP195" s="8116"/>
      <c r="BQ195" s="8117"/>
      <c r="BR195" s="8118"/>
      <c r="BS195" s="8119"/>
      <c r="BT195" s="8120"/>
      <c r="BU195" s="8121"/>
      <c r="BV195" s="8122"/>
      <c r="BW195" s="8123"/>
      <c r="BX195" s="8124"/>
      <c r="BY195" s="8125"/>
      <c r="BZ195" s="8126"/>
      <c r="CA195" s="8127"/>
      <c r="CB195" s="8128"/>
      <c r="CC195" s="8129"/>
      <c r="CD195" s="8130"/>
      <c r="CE195" s="8131"/>
      <c r="CF195" s="8132"/>
      <c r="CG195" s="8133"/>
      <c r="CH195" s="8134"/>
      <c r="CI195" s="8135"/>
      <c r="CJ195" s="8136"/>
      <c r="CK195" s="8137"/>
      <c r="CL195" s="8138"/>
      <c r="CM195" s="8139"/>
      <c r="CN195" s="8140"/>
      <c r="CO195" s="8141"/>
      <c r="CP195" s="8142"/>
      <c r="CQ195" s="8143"/>
      <c r="CR195" s="8144"/>
      <c r="CS195" s="8145"/>
      <c r="CT195" s="8146"/>
      <c r="CU195" s="8147"/>
      <c r="CV195" s="8148"/>
      <c r="CW195" s="8149"/>
      <c r="CX195" s="8150"/>
      <c r="CY195" s="8151"/>
      <c r="CZ195" s="8152"/>
      <c r="DA195" s="8153"/>
      <c r="DB195" s="8154"/>
      <c r="DC195" s="8155"/>
      <c r="DD195" s="8156"/>
      <c r="DE195" s="8157"/>
      <c r="DF195" s="8158"/>
      <c r="DG195" s="8159"/>
      <c r="DH195" s="8160"/>
      <c r="DI195" s="8161"/>
      <c r="DJ195" s="8162"/>
      <c r="DK195" s="8163"/>
      <c r="DL195" s="8164"/>
      <c r="DM195" s="8165"/>
      <c r="DN195" s="8166"/>
      <c r="DO195" s="8167"/>
      <c r="DP195" s="8168"/>
      <c r="DQ195" s="8169"/>
      <c r="DR195" s="8170"/>
      <c r="DS195" s="8171"/>
      <c r="DT195" s="8172"/>
      <c r="DU195" s="8173"/>
      <c r="DV195" s="8174"/>
      <c r="DW195" s="8175"/>
      <c r="DX195" s="8176"/>
      <c r="DY195" s="8177"/>
      <c r="DZ195" s="8178"/>
      <c r="EA195" s="8179"/>
      <c r="EB195" s="8180"/>
      <c r="EC195" s="8181"/>
      <c r="ED195" s="8182"/>
      <c r="EE195" s="8183"/>
      <c r="EF195" s="8184"/>
      <c r="EG195" s="8185"/>
      <c r="EH195" s="8186"/>
      <c r="EI195" s="8187"/>
      <c r="EJ195" s="8188"/>
      <c r="EK195" s="8189"/>
      <c r="EL195" s="8190"/>
      <c r="EM195" s="15154"/>
      <c r="EN195" s="15155"/>
      <c r="EO195" s="15156"/>
      <c r="EP195" s="15157"/>
      <c r="EQ195" s="15158"/>
      <c r="ER195" s="15159"/>
      <c r="ES195" s="15160"/>
      <c r="ET195" s="15161"/>
      <c r="EU195" s="15162"/>
      <c r="EV195" s="15163"/>
      <c r="EW195" s="15164"/>
      <c r="EX195" s="8191"/>
      <c r="EY195" s="8192"/>
      <c r="EZ195" s="2199"/>
      <c r="FA195" s="2512"/>
      <c r="FB195" s="2512" t="str">
        <f t="shared" si="3"/>
        <v>Добавить наименование признака дифференциации</v>
      </c>
      <c r="FC195" s="2512"/>
      <c r="FD195" s="2512"/>
    </row>
    <row r="196" spans="1:160" s="15165" customFormat="1" ht="14.25" customHeight="1">
      <c r="A196" s="3283"/>
      <c r="B196" s="3283"/>
      <c r="C196" s="3283"/>
      <c r="D196" s="3283"/>
      <c r="E196" s="16125"/>
      <c r="F196" s="16124" t="s">
        <v>102</v>
      </c>
      <c r="G196" s="3283"/>
      <c r="H196" s="3283"/>
      <c r="I196" s="3283"/>
      <c r="J196" s="3283"/>
      <c r="K196" s="3283"/>
      <c r="L196" s="3284"/>
      <c r="M196" s="3285"/>
      <c r="N196" s="3285"/>
      <c r="O196" s="2199"/>
      <c r="P196" s="3286"/>
      <c r="Q196" s="3287"/>
      <c r="R196" s="3286"/>
      <c r="S196" s="3288"/>
      <c r="T196" s="3289" t="s">
        <v>290</v>
      </c>
      <c r="U196" s="2192"/>
      <c r="V196" s="2192"/>
      <c r="W196" s="2192"/>
      <c r="X196" s="2192"/>
      <c r="Y196" s="2192"/>
      <c r="Z196" s="2192"/>
      <c r="AA196" s="2192"/>
      <c r="AB196" s="2192"/>
      <c r="AC196" s="2192"/>
      <c r="AD196" s="2192"/>
      <c r="AE196" s="2192"/>
      <c r="AF196" s="2192"/>
      <c r="AG196" s="2192"/>
      <c r="AH196" s="2192"/>
      <c r="AI196" s="2192"/>
      <c r="AJ196" s="2192"/>
      <c r="AK196" s="2192"/>
      <c r="AL196" s="2192"/>
      <c r="AM196" s="2192"/>
      <c r="AN196" s="2192"/>
      <c r="AO196" s="2192"/>
      <c r="AP196" s="2192"/>
      <c r="AQ196" s="2192"/>
      <c r="AR196" s="2192"/>
      <c r="AS196" s="2192"/>
      <c r="AT196" s="2192"/>
      <c r="AU196" s="2192"/>
      <c r="AV196" s="2192"/>
      <c r="AW196" s="2192"/>
      <c r="AX196" s="2192"/>
      <c r="AY196" s="2192"/>
      <c r="AZ196" s="2192"/>
      <c r="BA196" s="2192"/>
      <c r="BB196" s="2192"/>
      <c r="BC196" s="2192"/>
      <c r="BD196" s="2192"/>
      <c r="BE196" s="2192"/>
      <c r="BF196" s="2192"/>
      <c r="BG196" s="2192"/>
      <c r="BH196" s="2192"/>
      <c r="BI196" s="2192"/>
      <c r="BJ196" s="2192"/>
      <c r="BK196" s="2192"/>
      <c r="BL196" s="2192"/>
      <c r="BM196" s="2192"/>
      <c r="BN196" s="2192"/>
      <c r="BO196" s="2192"/>
      <c r="BP196" s="2192"/>
      <c r="BQ196" s="2192"/>
      <c r="BR196" s="2192"/>
      <c r="BS196" s="2192"/>
      <c r="BT196" s="2192"/>
      <c r="BU196" s="2192"/>
      <c r="BV196" s="2192"/>
      <c r="BW196" s="2192"/>
      <c r="BX196" s="2192"/>
      <c r="BY196" s="2192"/>
      <c r="BZ196" s="2192"/>
      <c r="CA196" s="2192"/>
      <c r="CB196" s="2192"/>
      <c r="CC196" s="2192"/>
      <c r="CD196" s="2192"/>
      <c r="CE196" s="2192"/>
      <c r="CF196" s="2192"/>
      <c r="CG196" s="2192"/>
      <c r="CH196" s="2192"/>
      <c r="CI196" s="2192"/>
      <c r="CJ196" s="2192"/>
      <c r="CK196" s="2192"/>
      <c r="CL196" s="2192"/>
      <c r="CM196" s="2192"/>
      <c r="CN196" s="2192"/>
      <c r="CO196" s="2192"/>
      <c r="CP196" s="2192"/>
      <c r="CQ196" s="2192"/>
      <c r="CR196" s="2192"/>
      <c r="CS196" s="2192"/>
      <c r="CT196" s="2192"/>
      <c r="CU196" s="2192"/>
      <c r="CV196" s="2192"/>
      <c r="CW196" s="2192"/>
      <c r="CX196" s="2192"/>
      <c r="CY196" s="2192"/>
      <c r="CZ196" s="2192"/>
      <c r="DA196" s="2192"/>
      <c r="DB196" s="2192"/>
      <c r="DC196" s="2192"/>
      <c r="DD196" s="2192"/>
      <c r="DE196" s="2192"/>
      <c r="DF196" s="2192"/>
      <c r="DG196" s="2192"/>
      <c r="DH196" s="2192"/>
      <c r="DI196" s="2192"/>
      <c r="DJ196" s="2192"/>
      <c r="DK196" s="2192"/>
      <c r="DL196" s="2192"/>
      <c r="DM196" s="2192"/>
      <c r="DN196" s="2192"/>
      <c r="DO196" s="2192"/>
      <c r="DP196" s="2192"/>
      <c r="DQ196" s="2192"/>
      <c r="DR196" s="2192"/>
      <c r="DS196" s="2192"/>
      <c r="DT196" s="2192"/>
      <c r="DU196" s="2192"/>
      <c r="DV196" s="2192"/>
      <c r="DW196" s="2192"/>
      <c r="DX196" s="2192"/>
      <c r="DY196" s="2192"/>
      <c r="DZ196" s="2192"/>
      <c r="EA196" s="2192"/>
      <c r="EB196" s="2192"/>
      <c r="EC196" s="2192"/>
      <c r="ED196" s="2192"/>
      <c r="EE196" s="2192"/>
      <c r="EF196" s="2192"/>
      <c r="EG196" s="2192"/>
      <c r="EH196" s="2192"/>
      <c r="EI196" s="2192"/>
      <c r="EJ196" s="2192"/>
      <c r="EK196" s="2192"/>
      <c r="EL196" s="2192"/>
      <c r="EM196" s="14483"/>
      <c r="EN196" s="14483"/>
      <c r="EO196" s="14483"/>
      <c r="EP196" s="14483"/>
      <c r="EQ196" s="14483"/>
      <c r="ER196" s="14483"/>
      <c r="ES196" s="14483"/>
      <c r="ET196" s="14483"/>
      <c r="EU196" s="14483"/>
      <c r="EV196" s="14483"/>
      <c r="EW196" s="14483"/>
      <c r="EX196" s="2192"/>
      <c r="EY196" s="2192"/>
      <c r="EZ196" s="2199"/>
      <c r="FA196" s="2512"/>
      <c r="FB196" s="2512" t="str">
        <f t="shared" si="3"/>
        <v>Добавить централизованную систему для дифференциации</v>
      </c>
      <c r="FC196" s="2512"/>
      <c r="FD196" s="2512"/>
    </row>
    <row r="197" spans="1:160" s="15166" customFormat="1" ht="23.25" customHeight="1">
      <c r="A197" s="2502"/>
      <c r="B197" s="2502" t="s">
        <v>341</v>
      </c>
      <c r="C197" s="2502"/>
      <c r="D197" s="2502"/>
      <c r="E197" s="16125"/>
      <c r="F197" s="16124" t="s">
        <v>90</v>
      </c>
      <c r="G197" s="2502"/>
      <c r="H197" s="2502"/>
      <c r="I197" s="2502"/>
      <c r="J197" s="2502"/>
      <c r="K197" s="2502"/>
      <c r="L197" s="2503"/>
      <c r="M197" s="2504"/>
      <c r="N197" s="2504"/>
      <c r="O197" s="2504"/>
      <c r="P197" s="2904"/>
      <c r="Q197" s="2506"/>
      <c r="R197" s="2507"/>
      <c r="S197" s="2508" t="str">
        <f>INDEX(PT_DIFFERENTIATION_NUM_TER,MATCH(B197,PT_DIFFERENTIATION_TER_ID,0))</f>
        <v>2.4</v>
      </c>
      <c r="T197" s="2905" t="s">
        <v>534</v>
      </c>
      <c r="U197" s="2510"/>
      <c r="V197" s="16110"/>
      <c r="W197" s="16111"/>
      <c r="X197" s="16111"/>
      <c r="Y197" s="16111"/>
      <c r="Z197" s="16111"/>
      <c r="AA197" s="16111"/>
      <c r="AB197" s="16111"/>
      <c r="AC197" s="16111"/>
      <c r="AD197" s="16111"/>
      <c r="AE197" s="16111"/>
      <c r="AF197" s="16112"/>
      <c r="AG197" s="16110" t="str">
        <f>INDEX(PT_DIFFERENTIATION_TER,MATCH(B197,PT_DIFFERENTIATION_TER_ID,0))</f>
        <v>Территория 4</v>
      </c>
      <c r="AH197" s="16111"/>
      <c r="AI197" s="16111"/>
      <c r="AJ197" s="16111"/>
      <c r="AK197" s="16111"/>
      <c r="AL197" s="16111"/>
      <c r="AM197" s="16111"/>
      <c r="AN197" s="16111"/>
      <c r="AO197" s="16111"/>
      <c r="AP197" s="16111"/>
      <c r="AQ197" s="16111"/>
      <c r="AR197" s="16110"/>
      <c r="AS197" s="16111"/>
      <c r="AT197" s="16111"/>
      <c r="AU197" s="16111"/>
      <c r="AV197" s="16111"/>
      <c r="AW197" s="16111"/>
      <c r="AX197" s="16111"/>
      <c r="AY197" s="16111"/>
      <c r="AZ197" s="16111"/>
      <c r="BA197" s="16111"/>
      <c r="BB197" s="16112"/>
      <c r="BC197" s="16110"/>
      <c r="BD197" s="16111"/>
      <c r="BE197" s="16111"/>
      <c r="BF197" s="16111"/>
      <c r="BG197" s="16111"/>
      <c r="BH197" s="16111"/>
      <c r="BI197" s="16111"/>
      <c r="BJ197" s="16111"/>
      <c r="BK197" s="16111"/>
      <c r="BL197" s="16111"/>
      <c r="BM197" s="16112"/>
      <c r="BN197" s="16110"/>
      <c r="BO197" s="16111"/>
      <c r="BP197" s="16111"/>
      <c r="BQ197" s="16111"/>
      <c r="BR197" s="16111"/>
      <c r="BS197" s="16111"/>
      <c r="BT197" s="16111"/>
      <c r="BU197" s="16111"/>
      <c r="BV197" s="16111"/>
      <c r="BW197" s="16111"/>
      <c r="BX197" s="16112"/>
      <c r="BY197" s="16110"/>
      <c r="BZ197" s="16111"/>
      <c r="CA197" s="16111"/>
      <c r="CB197" s="16111"/>
      <c r="CC197" s="16111"/>
      <c r="CD197" s="16111"/>
      <c r="CE197" s="16111"/>
      <c r="CF197" s="16111"/>
      <c r="CG197" s="16111"/>
      <c r="CH197" s="16111"/>
      <c r="CI197" s="16112"/>
      <c r="CJ197" s="16110"/>
      <c r="CK197" s="16111"/>
      <c r="CL197" s="16111"/>
      <c r="CM197" s="16111"/>
      <c r="CN197" s="16111"/>
      <c r="CO197" s="16111"/>
      <c r="CP197" s="16111"/>
      <c r="CQ197" s="16111"/>
      <c r="CR197" s="16111"/>
      <c r="CS197" s="16111"/>
      <c r="CT197" s="16112"/>
      <c r="CU197" s="16110"/>
      <c r="CV197" s="16111"/>
      <c r="CW197" s="16111"/>
      <c r="CX197" s="16111"/>
      <c r="CY197" s="16111"/>
      <c r="CZ197" s="16111"/>
      <c r="DA197" s="16111"/>
      <c r="DB197" s="16111"/>
      <c r="DC197" s="16111"/>
      <c r="DD197" s="16111"/>
      <c r="DE197" s="16112"/>
      <c r="DF197" s="16110"/>
      <c r="DG197" s="16111"/>
      <c r="DH197" s="16111"/>
      <c r="DI197" s="16111"/>
      <c r="DJ197" s="16111"/>
      <c r="DK197" s="16111"/>
      <c r="DL197" s="16111"/>
      <c r="DM197" s="16111"/>
      <c r="DN197" s="16111"/>
      <c r="DO197" s="16111"/>
      <c r="DP197" s="16112"/>
      <c r="DQ197" s="16110"/>
      <c r="DR197" s="16111"/>
      <c r="DS197" s="16111"/>
      <c r="DT197" s="16111"/>
      <c r="DU197" s="16111"/>
      <c r="DV197" s="16111"/>
      <c r="DW197" s="16111"/>
      <c r="DX197" s="16111"/>
      <c r="DY197" s="16111"/>
      <c r="DZ197" s="16111"/>
      <c r="EA197" s="16112"/>
      <c r="EB197" s="16110"/>
      <c r="EC197" s="16111"/>
      <c r="ED197" s="16111"/>
      <c r="EE197" s="16111"/>
      <c r="EF197" s="16111"/>
      <c r="EG197" s="16111"/>
      <c r="EH197" s="16111"/>
      <c r="EI197" s="16111"/>
      <c r="EJ197" s="16111"/>
      <c r="EK197" s="16111"/>
      <c r="EL197" s="16112"/>
      <c r="EM197" s="16110"/>
      <c r="EN197" s="16111"/>
      <c r="EO197" s="16111"/>
      <c r="EP197" s="16111"/>
      <c r="EQ197" s="16111"/>
      <c r="ER197" s="16111"/>
      <c r="ES197" s="16111"/>
      <c r="ET197" s="16111"/>
      <c r="EU197" s="16111"/>
      <c r="EV197" s="16111"/>
      <c r="EW197" s="16112"/>
      <c r="EX197" s="16112"/>
      <c r="EY197" s="2511" t="s">
        <v>535</v>
      </c>
      <c r="EZ197" s="2199"/>
      <c r="FA197" s="2512"/>
      <c r="FB197" s="2512" t="str">
        <f t="shared" si="3"/>
        <v>Территория действия тарифа</v>
      </c>
      <c r="FC197" s="2512"/>
      <c r="FD197" s="2512"/>
    </row>
    <row r="198" spans="1:160" s="15167" customFormat="1" ht="23.25" customHeight="1">
      <c r="A198" s="2502"/>
      <c r="B198" s="2502"/>
      <c r="C198" s="2502" t="s">
        <v>342</v>
      </c>
      <c r="D198" s="2502"/>
      <c r="E198" s="16125"/>
      <c r="F198" s="16125" t="s">
        <v>89</v>
      </c>
      <c r="G198" s="16124">
        <v>1</v>
      </c>
      <c r="H198" s="2502"/>
      <c r="I198" s="2502"/>
      <c r="J198" s="2502"/>
      <c r="K198" s="2502"/>
      <c r="L198" s="2503"/>
      <c r="M198" s="2504"/>
      <c r="N198" s="2504"/>
      <c r="O198" s="2504"/>
      <c r="P198" s="2505"/>
      <c r="Q198" s="2506"/>
      <c r="R198" s="2507"/>
      <c r="S198" s="2508" t="str">
        <f>INDEX(PT_DIFFERENTIATION_NUM_CS,MATCH(C198,PT_DIFFERENTIATION_CS_ID,0))</f>
        <v>2.4.1</v>
      </c>
      <c r="T198" s="2509" t="s">
        <v>665</v>
      </c>
      <c r="U198" s="2510"/>
      <c r="V198" s="16110"/>
      <c r="W198" s="16111"/>
      <c r="X198" s="16111"/>
      <c r="Y198" s="16111"/>
      <c r="Z198" s="16111"/>
      <c r="AA198" s="16111"/>
      <c r="AB198" s="16111"/>
      <c r="AC198" s="16111"/>
      <c r="AD198" s="16111"/>
      <c r="AE198" s="16111"/>
      <c r="AF198" s="16112"/>
      <c r="AG198" s="16110" t="str">
        <f>INDEX(PT_DIFFERENTIATION_CS,MATCH(C198,PT_DIFFERENTIATION_CS_ID,0))</f>
        <v>без дифференциации</v>
      </c>
      <c r="AH198" s="16111"/>
      <c r="AI198" s="16111"/>
      <c r="AJ198" s="16111"/>
      <c r="AK198" s="16111"/>
      <c r="AL198" s="16111"/>
      <c r="AM198" s="16111"/>
      <c r="AN198" s="16111"/>
      <c r="AO198" s="16111"/>
      <c r="AP198" s="16111"/>
      <c r="AQ198" s="16111"/>
      <c r="AR198" s="16110"/>
      <c r="AS198" s="16111"/>
      <c r="AT198" s="16111"/>
      <c r="AU198" s="16111"/>
      <c r="AV198" s="16111"/>
      <c r="AW198" s="16111"/>
      <c r="AX198" s="16111"/>
      <c r="AY198" s="16111"/>
      <c r="AZ198" s="16111"/>
      <c r="BA198" s="16111"/>
      <c r="BB198" s="16112"/>
      <c r="BC198" s="16110"/>
      <c r="BD198" s="16111"/>
      <c r="BE198" s="16111"/>
      <c r="BF198" s="16111"/>
      <c r="BG198" s="16111"/>
      <c r="BH198" s="16111"/>
      <c r="BI198" s="16111"/>
      <c r="BJ198" s="16111"/>
      <c r="BK198" s="16111"/>
      <c r="BL198" s="16111"/>
      <c r="BM198" s="16112"/>
      <c r="BN198" s="16110"/>
      <c r="BO198" s="16111"/>
      <c r="BP198" s="16111"/>
      <c r="BQ198" s="16111"/>
      <c r="BR198" s="16111"/>
      <c r="BS198" s="16111"/>
      <c r="BT198" s="16111"/>
      <c r="BU198" s="16111"/>
      <c r="BV198" s="16111"/>
      <c r="BW198" s="16111"/>
      <c r="BX198" s="16112"/>
      <c r="BY198" s="16110"/>
      <c r="BZ198" s="16111"/>
      <c r="CA198" s="16111"/>
      <c r="CB198" s="16111"/>
      <c r="CC198" s="16111"/>
      <c r="CD198" s="16111"/>
      <c r="CE198" s="16111"/>
      <c r="CF198" s="16111"/>
      <c r="CG198" s="16111"/>
      <c r="CH198" s="16111"/>
      <c r="CI198" s="16112"/>
      <c r="CJ198" s="16110"/>
      <c r="CK198" s="16111"/>
      <c r="CL198" s="16111"/>
      <c r="CM198" s="16111"/>
      <c r="CN198" s="16111"/>
      <c r="CO198" s="16111"/>
      <c r="CP198" s="16111"/>
      <c r="CQ198" s="16111"/>
      <c r="CR198" s="16111"/>
      <c r="CS198" s="16111"/>
      <c r="CT198" s="16112"/>
      <c r="CU198" s="16110"/>
      <c r="CV198" s="16111"/>
      <c r="CW198" s="16111"/>
      <c r="CX198" s="16111"/>
      <c r="CY198" s="16111"/>
      <c r="CZ198" s="16111"/>
      <c r="DA198" s="16111"/>
      <c r="DB198" s="16111"/>
      <c r="DC198" s="16111"/>
      <c r="DD198" s="16111"/>
      <c r="DE198" s="16112"/>
      <c r="DF198" s="16110"/>
      <c r="DG198" s="16111"/>
      <c r="DH198" s="16111"/>
      <c r="DI198" s="16111"/>
      <c r="DJ198" s="16111"/>
      <c r="DK198" s="16111"/>
      <c r="DL198" s="16111"/>
      <c r="DM198" s="16111"/>
      <c r="DN198" s="16111"/>
      <c r="DO198" s="16111"/>
      <c r="DP198" s="16112"/>
      <c r="DQ198" s="16110"/>
      <c r="DR198" s="16111"/>
      <c r="DS198" s="16111"/>
      <c r="DT198" s="16111"/>
      <c r="DU198" s="16111"/>
      <c r="DV198" s="16111"/>
      <c r="DW198" s="16111"/>
      <c r="DX198" s="16111"/>
      <c r="DY198" s="16111"/>
      <c r="DZ198" s="16111"/>
      <c r="EA198" s="16112"/>
      <c r="EB198" s="16110"/>
      <c r="EC198" s="16111"/>
      <c r="ED198" s="16111"/>
      <c r="EE198" s="16111"/>
      <c r="EF198" s="16111"/>
      <c r="EG198" s="16111"/>
      <c r="EH198" s="16111"/>
      <c r="EI198" s="16111"/>
      <c r="EJ198" s="16111"/>
      <c r="EK198" s="16111"/>
      <c r="EL198" s="16112"/>
      <c r="EM198" s="16110"/>
      <c r="EN198" s="16111"/>
      <c r="EO198" s="16111"/>
      <c r="EP198" s="16111"/>
      <c r="EQ198" s="16111"/>
      <c r="ER198" s="16111"/>
      <c r="ES198" s="16111"/>
      <c r="ET198" s="16111"/>
      <c r="EU198" s="16111"/>
      <c r="EV198" s="16111"/>
      <c r="EW198" s="16112"/>
      <c r="EX198" s="16112"/>
      <c r="EY198" s="2511" t="s">
        <v>666</v>
      </c>
      <c r="EZ198" s="2199"/>
      <c r="FA198" s="2512"/>
      <c r="FB198" s="2512" t="str">
        <f t="shared" si="3"/>
        <v>Наименование централизованной системы горячего водоснабжения</v>
      </c>
      <c r="FC198" s="2512"/>
      <c r="FD198" s="2512"/>
    </row>
    <row r="199" spans="1:160" s="15168" customFormat="1" ht="23.25" customHeight="1">
      <c r="A199" s="2502"/>
      <c r="B199" s="2502"/>
      <c r="C199" s="2502"/>
      <c r="D199" s="2502"/>
      <c r="E199" s="16125"/>
      <c r="F199" s="16125" t="s">
        <v>89</v>
      </c>
      <c r="G199" s="16125"/>
      <c r="H199" s="16125"/>
      <c r="I199" s="16122" t="str">
        <f>S198&amp;".1"</f>
        <v>2.4.1.1</v>
      </c>
      <c r="J199" s="2502"/>
      <c r="K199" s="2502"/>
      <c r="L199" s="2503"/>
      <c r="M199" s="2513"/>
      <c r="N199" s="2513"/>
      <c r="O199" s="2513"/>
      <c r="P199" s="16123">
        <v>1</v>
      </c>
      <c r="Q199" s="2514"/>
      <c r="R199" s="2515"/>
      <c r="S199" s="2508" t="str">
        <f>$I199</f>
        <v>2.4.1.1</v>
      </c>
      <c r="T199" s="2516" t="s">
        <v>618</v>
      </c>
      <c r="U199" s="2510"/>
      <c r="V199" s="16183"/>
      <c r="W199" s="16184"/>
      <c r="X199" s="16184"/>
      <c r="Y199" s="16184"/>
      <c r="Z199" s="16184"/>
      <c r="AA199" s="16184"/>
      <c r="AB199" s="16184"/>
      <c r="AC199" s="16184"/>
      <c r="AD199" s="16184"/>
      <c r="AE199" s="16184"/>
      <c r="AF199" s="16185"/>
      <c r="AG199" s="16186"/>
      <c r="AH199" s="16187"/>
      <c r="AI199" s="16187"/>
      <c r="AJ199" s="16187"/>
      <c r="AK199" s="16187"/>
      <c r="AL199" s="16187"/>
      <c r="AM199" s="16187"/>
      <c r="AN199" s="16187"/>
      <c r="AO199" s="16187"/>
      <c r="AP199" s="16187"/>
      <c r="AQ199" s="16187"/>
      <c r="AR199" s="16183"/>
      <c r="AS199" s="16184"/>
      <c r="AT199" s="16184"/>
      <c r="AU199" s="16184"/>
      <c r="AV199" s="16184"/>
      <c r="AW199" s="16184"/>
      <c r="AX199" s="16184"/>
      <c r="AY199" s="16184"/>
      <c r="AZ199" s="16184"/>
      <c r="BA199" s="16184"/>
      <c r="BB199" s="16185"/>
      <c r="BC199" s="16183"/>
      <c r="BD199" s="16184"/>
      <c r="BE199" s="16184"/>
      <c r="BF199" s="16184"/>
      <c r="BG199" s="16184"/>
      <c r="BH199" s="16184"/>
      <c r="BI199" s="16184"/>
      <c r="BJ199" s="16184"/>
      <c r="BK199" s="16184"/>
      <c r="BL199" s="16184"/>
      <c r="BM199" s="16185"/>
      <c r="BN199" s="16183"/>
      <c r="BO199" s="16184"/>
      <c r="BP199" s="16184"/>
      <c r="BQ199" s="16184"/>
      <c r="BR199" s="16184"/>
      <c r="BS199" s="16184"/>
      <c r="BT199" s="16184"/>
      <c r="BU199" s="16184"/>
      <c r="BV199" s="16184"/>
      <c r="BW199" s="16184"/>
      <c r="BX199" s="16185"/>
      <c r="BY199" s="16183"/>
      <c r="BZ199" s="16184"/>
      <c r="CA199" s="16184"/>
      <c r="CB199" s="16184"/>
      <c r="CC199" s="16184"/>
      <c r="CD199" s="16184"/>
      <c r="CE199" s="16184"/>
      <c r="CF199" s="16184"/>
      <c r="CG199" s="16184"/>
      <c r="CH199" s="16184"/>
      <c r="CI199" s="16185"/>
      <c r="CJ199" s="16183"/>
      <c r="CK199" s="16184"/>
      <c r="CL199" s="16184"/>
      <c r="CM199" s="16184"/>
      <c r="CN199" s="16184"/>
      <c r="CO199" s="16184"/>
      <c r="CP199" s="16184"/>
      <c r="CQ199" s="16184"/>
      <c r="CR199" s="16184"/>
      <c r="CS199" s="16184"/>
      <c r="CT199" s="16185"/>
      <c r="CU199" s="16183"/>
      <c r="CV199" s="16184"/>
      <c r="CW199" s="16184"/>
      <c r="CX199" s="16184"/>
      <c r="CY199" s="16184"/>
      <c r="CZ199" s="16184"/>
      <c r="DA199" s="16184"/>
      <c r="DB199" s="16184"/>
      <c r="DC199" s="16184"/>
      <c r="DD199" s="16184"/>
      <c r="DE199" s="16185"/>
      <c r="DF199" s="16183"/>
      <c r="DG199" s="16184"/>
      <c r="DH199" s="16184"/>
      <c r="DI199" s="16184"/>
      <c r="DJ199" s="16184"/>
      <c r="DK199" s="16184"/>
      <c r="DL199" s="16184"/>
      <c r="DM199" s="16184"/>
      <c r="DN199" s="16184"/>
      <c r="DO199" s="16184"/>
      <c r="DP199" s="16185"/>
      <c r="DQ199" s="16183"/>
      <c r="DR199" s="16184"/>
      <c r="DS199" s="16184"/>
      <c r="DT199" s="16184"/>
      <c r="DU199" s="16184"/>
      <c r="DV199" s="16184"/>
      <c r="DW199" s="16184"/>
      <c r="DX199" s="16184"/>
      <c r="DY199" s="16184"/>
      <c r="DZ199" s="16184"/>
      <c r="EA199" s="16185"/>
      <c r="EB199" s="16183"/>
      <c r="EC199" s="16184"/>
      <c r="ED199" s="16184"/>
      <c r="EE199" s="16184"/>
      <c r="EF199" s="16184"/>
      <c r="EG199" s="16184"/>
      <c r="EH199" s="16184"/>
      <c r="EI199" s="16184"/>
      <c r="EJ199" s="16184"/>
      <c r="EK199" s="16184"/>
      <c r="EL199" s="16185"/>
      <c r="EM199" s="16183"/>
      <c r="EN199" s="16184"/>
      <c r="EO199" s="16184"/>
      <c r="EP199" s="16184"/>
      <c r="EQ199" s="16184"/>
      <c r="ER199" s="16184"/>
      <c r="ES199" s="16184"/>
      <c r="ET199" s="16184"/>
      <c r="EU199" s="16184"/>
      <c r="EV199" s="16184"/>
      <c r="EW199" s="16185"/>
      <c r="EX199" s="16188"/>
      <c r="EY199" s="2511" t="s">
        <v>619</v>
      </c>
      <c r="EZ199" s="2199"/>
      <c r="FA199" s="2512"/>
      <c r="FB199" s="2512" t="str">
        <f t="shared" si="3"/>
        <v>Наименование признака дифференциации</v>
      </c>
      <c r="FC199" s="2512"/>
      <c r="FD199" s="2512"/>
    </row>
    <row r="200" spans="1:160" s="15169" customFormat="1" ht="23.25" customHeight="1">
      <c r="A200" s="2502"/>
      <c r="B200" s="2502"/>
      <c r="C200" s="2502"/>
      <c r="D200" s="2502"/>
      <c r="E200" s="16125"/>
      <c r="F200" s="16125" t="s">
        <v>89</v>
      </c>
      <c r="G200" s="16125"/>
      <c r="H200" s="16125"/>
      <c r="I200" s="16145"/>
      <c r="J200" s="16122" t="str">
        <f>I199&amp;".1"</f>
        <v>2.4.1.1.1</v>
      </c>
      <c r="K200" s="2502"/>
      <c r="L200" s="2503" t="s">
        <v>543</v>
      </c>
      <c r="M200" s="2513"/>
      <c r="N200" s="2513"/>
      <c r="O200" s="2513"/>
      <c r="P200" s="16123"/>
      <c r="Q200" s="16123">
        <v>1</v>
      </c>
      <c r="R200" s="2517"/>
      <c r="S200" s="2508" t="str">
        <f>$J200</f>
        <v>2.4.1.1.1</v>
      </c>
      <c r="T200" s="2518" t="s">
        <v>544</v>
      </c>
      <c r="U200" s="2510"/>
      <c r="V200" s="16113"/>
      <c r="W200" s="16114"/>
      <c r="X200" s="16114"/>
      <c r="Y200" s="16114"/>
      <c r="Z200" s="16114"/>
      <c r="AA200" s="16114"/>
      <c r="AB200" s="16114"/>
      <c r="AC200" s="16114"/>
      <c r="AD200" s="16114"/>
      <c r="AE200" s="16114"/>
      <c r="AF200" s="16115"/>
      <c r="AG200" s="16113" t="s">
        <v>679</v>
      </c>
      <c r="AH200" s="16114"/>
      <c r="AI200" s="16114"/>
      <c r="AJ200" s="16114"/>
      <c r="AK200" s="16114"/>
      <c r="AL200" s="16114"/>
      <c r="AM200" s="16114"/>
      <c r="AN200" s="16114"/>
      <c r="AO200" s="16114"/>
      <c r="AP200" s="16114"/>
      <c r="AQ200" s="16114"/>
      <c r="AR200" s="16113"/>
      <c r="AS200" s="16114"/>
      <c r="AT200" s="16114"/>
      <c r="AU200" s="16114"/>
      <c r="AV200" s="16114"/>
      <c r="AW200" s="16114"/>
      <c r="AX200" s="16114"/>
      <c r="AY200" s="16114"/>
      <c r="AZ200" s="16114"/>
      <c r="BA200" s="16114"/>
      <c r="BB200" s="16115"/>
      <c r="BC200" s="16113"/>
      <c r="BD200" s="16114"/>
      <c r="BE200" s="16114"/>
      <c r="BF200" s="16114"/>
      <c r="BG200" s="16114"/>
      <c r="BH200" s="16114"/>
      <c r="BI200" s="16114"/>
      <c r="BJ200" s="16114"/>
      <c r="BK200" s="16114"/>
      <c r="BL200" s="16114"/>
      <c r="BM200" s="16115"/>
      <c r="BN200" s="16113"/>
      <c r="BO200" s="16114"/>
      <c r="BP200" s="16114"/>
      <c r="BQ200" s="16114"/>
      <c r="BR200" s="16114"/>
      <c r="BS200" s="16114"/>
      <c r="BT200" s="16114"/>
      <c r="BU200" s="16114"/>
      <c r="BV200" s="16114"/>
      <c r="BW200" s="16114"/>
      <c r="BX200" s="16115"/>
      <c r="BY200" s="16113"/>
      <c r="BZ200" s="16114"/>
      <c r="CA200" s="16114"/>
      <c r="CB200" s="16114"/>
      <c r="CC200" s="16114"/>
      <c r="CD200" s="16114"/>
      <c r="CE200" s="16114"/>
      <c r="CF200" s="16114"/>
      <c r="CG200" s="16114"/>
      <c r="CH200" s="16114"/>
      <c r="CI200" s="16115"/>
      <c r="CJ200" s="16113"/>
      <c r="CK200" s="16114"/>
      <c r="CL200" s="16114"/>
      <c r="CM200" s="16114"/>
      <c r="CN200" s="16114"/>
      <c r="CO200" s="16114"/>
      <c r="CP200" s="16114"/>
      <c r="CQ200" s="16114"/>
      <c r="CR200" s="16114"/>
      <c r="CS200" s="16114"/>
      <c r="CT200" s="16115"/>
      <c r="CU200" s="16113"/>
      <c r="CV200" s="16114"/>
      <c r="CW200" s="16114"/>
      <c r="CX200" s="16114"/>
      <c r="CY200" s="16114"/>
      <c r="CZ200" s="16114"/>
      <c r="DA200" s="16114"/>
      <c r="DB200" s="16114"/>
      <c r="DC200" s="16114"/>
      <c r="DD200" s="16114"/>
      <c r="DE200" s="16115"/>
      <c r="DF200" s="16113"/>
      <c r="DG200" s="16114"/>
      <c r="DH200" s="16114"/>
      <c r="DI200" s="16114"/>
      <c r="DJ200" s="16114"/>
      <c r="DK200" s="16114"/>
      <c r="DL200" s="16114"/>
      <c r="DM200" s="16114"/>
      <c r="DN200" s="16114"/>
      <c r="DO200" s="16114"/>
      <c r="DP200" s="16115"/>
      <c r="DQ200" s="16113"/>
      <c r="DR200" s="16114"/>
      <c r="DS200" s="16114"/>
      <c r="DT200" s="16114"/>
      <c r="DU200" s="16114"/>
      <c r="DV200" s="16114"/>
      <c r="DW200" s="16114"/>
      <c r="DX200" s="16114"/>
      <c r="DY200" s="16114"/>
      <c r="DZ200" s="16114"/>
      <c r="EA200" s="16115"/>
      <c r="EB200" s="16113"/>
      <c r="EC200" s="16114"/>
      <c r="ED200" s="16114"/>
      <c r="EE200" s="16114"/>
      <c r="EF200" s="16114"/>
      <c r="EG200" s="16114"/>
      <c r="EH200" s="16114"/>
      <c r="EI200" s="16114"/>
      <c r="EJ200" s="16114"/>
      <c r="EK200" s="16114"/>
      <c r="EL200" s="16115"/>
      <c r="EM200" s="16113"/>
      <c r="EN200" s="16114"/>
      <c r="EO200" s="16114"/>
      <c r="EP200" s="16114"/>
      <c r="EQ200" s="16114"/>
      <c r="ER200" s="16114"/>
      <c r="ES200" s="16114"/>
      <c r="ET200" s="16114"/>
      <c r="EU200" s="16114"/>
      <c r="EV200" s="16114"/>
      <c r="EW200" s="16115"/>
      <c r="EX200" s="16115"/>
      <c r="EY200" s="2519" t="s">
        <v>620</v>
      </c>
      <c r="EZ200" s="2199"/>
      <c r="FA200" s="2512"/>
      <c r="FB200" s="2512" t="str">
        <f t="shared" si="3"/>
        <v>Группа потребителей</v>
      </c>
      <c r="FC200" s="2512"/>
      <c r="FD200" s="2512"/>
    </row>
    <row r="201" spans="1:160" s="15170" customFormat="1" ht="23.25" customHeight="1">
      <c r="A201" s="2502"/>
      <c r="B201" s="2502"/>
      <c r="C201" s="2502"/>
      <c r="D201" s="2502"/>
      <c r="E201" s="16125"/>
      <c r="F201" s="16125" t="s">
        <v>89</v>
      </c>
      <c r="G201" s="16125"/>
      <c r="H201" s="16125"/>
      <c r="I201" s="16145"/>
      <c r="J201" s="16145"/>
      <c r="K201" s="16122" t="str">
        <f>J200&amp;".1"</f>
        <v>2.4.1.1.1.1</v>
      </c>
      <c r="L201" s="2503"/>
      <c r="M201" s="2513"/>
      <c r="N201" s="2513"/>
      <c r="O201" s="2513"/>
      <c r="P201" s="16123"/>
      <c r="Q201" s="16123"/>
      <c r="R201" s="2517">
        <v>1</v>
      </c>
      <c r="S201" s="2508" t="str">
        <f>$K201</f>
        <v>2.4.1.1.1.1</v>
      </c>
      <c r="T201" s="2520"/>
      <c r="U201" s="2510"/>
      <c r="V201" s="1893"/>
      <c r="W201" s="1893"/>
      <c r="X201" s="1893"/>
      <c r="Y201" s="1893"/>
      <c r="Z201" s="1893"/>
      <c r="AA201" s="1893"/>
      <c r="AB201" s="1893"/>
      <c r="AC201" s="16127"/>
      <c r="AD201" s="15973" t="s">
        <v>66</v>
      </c>
      <c r="AE201" s="16127"/>
      <c r="AF201" s="15973" t="s">
        <v>66</v>
      </c>
      <c r="AG201" s="1893">
        <v>155.94</v>
      </c>
      <c r="AH201" s="1893"/>
      <c r="AI201" s="1893"/>
      <c r="AJ201" s="1893"/>
      <c r="AK201" s="1893">
        <v>5493.65</v>
      </c>
      <c r="AL201" s="1893"/>
      <c r="AM201" s="1893"/>
      <c r="AN201" s="16127">
        <v>45292</v>
      </c>
      <c r="AO201" s="15973" t="s">
        <v>66</v>
      </c>
      <c r="AP201" s="16146">
        <v>45378</v>
      </c>
      <c r="AQ201" s="15973" t="s">
        <v>66</v>
      </c>
      <c r="AR201" s="1893">
        <v>163.06</v>
      </c>
      <c r="AS201" s="1893"/>
      <c r="AT201" s="1893"/>
      <c r="AU201" s="1893"/>
      <c r="AV201" s="1893">
        <v>5493.65</v>
      </c>
      <c r="AW201" s="1893"/>
      <c r="AX201" s="1893"/>
      <c r="AY201" s="16127">
        <v>45379</v>
      </c>
      <c r="AZ201" s="15973" t="s">
        <v>66</v>
      </c>
      <c r="BA201" s="16127">
        <v>45473</v>
      </c>
      <c r="BB201" s="15973" t="s">
        <v>66</v>
      </c>
      <c r="BC201" s="1893">
        <v>163.06</v>
      </c>
      <c r="BD201" s="1893"/>
      <c r="BE201" s="1893"/>
      <c r="BF201" s="1893"/>
      <c r="BG201" s="1893">
        <v>5493.65</v>
      </c>
      <c r="BH201" s="1893"/>
      <c r="BI201" s="1893"/>
      <c r="BJ201" s="16127">
        <v>45474</v>
      </c>
      <c r="BK201" s="15973" t="s">
        <v>66</v>
      </c>
      <c r="BL201" s="16127">
        <v>45657</v>
      </c>
      <c r="BM201" s="15973" t="s">
        <v>66</v>
      </c>
      <c r="BN201" s="1893">
        <v>148.08000000000001</v>
      </c>
      <c r="BO201" s="1893"/>
      <c r="BP201" s="1893"/>
      <c r="BQ201" s="1893"/>
      <c r="BR201" s="1893">
        <v>5407.73</v>
      </c>
      <c r="BS201" s="1893"/>
      <c r="BT201" s="1893"/>
      <c r="BU201" s="16127">
        <v>45658</v>
      </c>
      <c r="BV201" s="15973" t="s">
        <v>66</v>
      </c>
      <c r="BW201" s="16127">
        <v>45838</v>
      </c>
      <c r="BX201" s="15973" t="s">
        <v>66</v>
      </c>
      <c r="BY201" s="1893">
        <v>148.19999999999999</v>
      </c>
      <c r="BZ201" s="1893"/>
      <c r="CA201" s="1893"/>
      <c r="CB201" s="1893"/>
      <c r="CC201" s="1893">
        <v>5407.73</v>
      </c>
      <c r="CD201" s="1893"/>
      <c r="CE201" s="1893"/>
      <c r="CF201" s="16127">
        <v>45839</v>
      </c>
      <c r="CG201" s="15973" t="s">
        <v>66</v>
      </c>
      <c r="CH201" s="16127">
        <v>46022</v>
      </c>
      <c r="CI201" s="15973" t="s">
        <v>66</v>
      </c>
      <c r="CJ201" s="1893">
        <v>148.19999999999999</v>
      </c>
      <c r="CK201" s="1893"/>
      <c r="CL201" s="1893"/>
      <c r="CM201" s="1893"/>
      <c r="CN201" s="1893">
        <v>5407.73</v>
      </c>
      <c r="CO201" s="1893"/>
      <c r="CP201" s="1893"/>
      <c r="CQ201" s="16127">
        <v>46023</v>
      </c>
      <c r="CR201" s="15973" t="s">
        <v>66</v>
      </c>
      <c r="CS201" s="16127">
        <v>46203</v>
      </c>
      <c r="CT201" s="15973" t="s">
        <v>66</v>
      </c>
      <c r="CU201" s="1893">
        <v>154.91</v>
      </c>
      <c r="CV201" s="1893"/>
      <c r="CW201" s="1893"/>
      <c r="CX201" s="1893"/>
      <c r="CY201" s="1893">
        <v>5675.72</v>
      </c>
      <c r="CZ201" s="1893"/>
      <c r="DA201" s="1893"/>
      <c r="DB201" s="16127">
        <v>46204</v>
      </c>
      <c r="DC201" s="15973" t="s">
        <v>66</v>
      </c>
      <c r="DD201" s="16127">
        <v>46387</v>
      </c>
      <c r="DE201" s="15973" t="s">
        <v>66</v>
      </c>
      <c r="DF201" s="1893">
        <v>154.91</v>
      </c>
      <c r="DG201" s="1893"/>
      <c r="DH201" s="1893"/>
      <c r="DI201" s="1893"/>
      <c r="DJ201" s="1893">
        <v>5674.41</v>
      </c>
      <c r="DK201" s="1893"/>
      <c r="DL201" s="1893"/>
      <c r="DM201" s="16127">
        <v>46388</v>
      </c>
      <c r="DN201" s="15973" t="s">
        <v>66</v>
      </c>
      <c r="DO201" s="16127">
        <v>46568</v>
      </c>
      <c r="DP201" s="15973" t="s">
        <v>66</v>
      </c>
      <c r="DQ201" s="1893">
        <v>161.11000000000001</v>
      </c>
      <c r="DR201" s="1893"/>
      <c r="DS201" s="1893"/>
      <c r="DT201" s="1893"/>
      <c r="DU201" s="1893">
        <v>5674.41</v>
      </c>
      <c r="DV201" s="1893"/>
      <c r="DW201" s="1893"/>
      <c r="DX201" s="16127">
        <v>46569</v>
      </c>
      <c r="DY201" s="15973" t="s">
        <v>66</v>
      </c>
      <c r="DZ201" s="16127">
        <v>46752</v>
      </c>
      <c r="EA201" s="15973" t="s">
        <v>66</v>
      </c>
      <c r="EB201" s="1893">
        <v>161.11000000000001</v>
      </c>
      <c r="EC201" s="1893"/>
      <c r="ED201" s="1893"/>
      <c r="EE201" s="1893"/>
      <c r="EF201" s="1893">
        <v>5674.41</v>
      </c>
      <c r="EG201" s="1893"/>
      <c r="EH201" s="1893"/>
      <c r="EI201" s="16127">
        <v>46753</v>
      </c>
      <c r="EJ201" s="15973" t="s">
        <v>66</v>
      </c>
      <c r="EK201" s="16127">
        <v>46934</v>
      </c>
      <c r="EL201" s="15973" t="s">
        <v>66</v>
      </c>
      <c r="EM201" s="14448">
        <v>167.55</v>
      </c>
      <c r="EN201" s="14448"/>
      <c r="EO201" s="14448"/>
      <c r="EP201" s="14448"/>
      <c r="EQ201" s="14448">
        <v>5982.82</v>
      </c>
      <c r="ER201" s="14448"/>
      <c r="ES201" s="14448"/>
      <c r="ET201" s="16127">
        <v>46935</v>
      </c>
      <c r="EU201" s="15973" t="s">
        <v>66</v>
      </c>
      <c r="EV201" s="16127">
        <v>47118</v>
      </c>
      <c r="EW201" s="15973" t="s">
        <v>66</v>
      </c>
      <c r="EX201" s="2521"/>
      <c r="EY20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01" s="2199" t="e">
        <f ca="1">STRCHECKDATE(V202:EX202)</f>
        <v>#NAME?</v>
      </c>
      <c r="FA201" s="2512"/>
      <c r="FB201" s="2512" t="str">
        <f t="shared" si="3"/>
        <v/>
      </c>
      <c r="FC201" s="2512"/>
      <c r="FD201" s="2512"/>
    </row>
    <row r="202" spans="1:160" s="15171" customFormat="1" ht="14.25" customHeight="1">
      <c r="A202" s="2502"/>
      <c r="B202" s="2502"/>
      <c r="C202" s="2502"/>
      <c r="D202" s="2502"/>
      <c r="E202" s="16125"/>
      <c r="F202" s="16125" t="s">
        <v>89</v>
      </c>
      <c r="G202" s="16125"/>
      <c r="H202" s="16125"/>
      <c r="I202" s="16145"/>
      <c r="J202" s="16145"/>
      <c r="K202" s="16122"/>
      <c r="L202" s="2503"/>
      <c r="M202" s="2513"/>
      <c r="N202" s="2513"/>
      <c r="O202" s="2513"/>
      <c r="P202" s="16123"/>
      <c r="Q202" s="16123"/>
      <c r="R202" s="2517"/>
      <c r="S202" s="2522"/>
      <c r="T202" s="2510"/>
      <c r="U202" s="2510"/>
      <c r="V202" s="1894"/>
      <c r="W202" s="1894"/>
      <c r="X202" s="1894"/>
      <c r="Y202" s="1894"/>
      <c r="Z202" s="1894"/>
      <c r="AA202" s="1894"/>
      <c r="AB202" s="1894"/>
      <c r="AC202" s="16128"/>
      <c r="AD202" s="15973"/>
      <c r="AE202" s="16128"/>
      <c r="AF202" s="15973"/>
      <c r="AG202" s="1894"/>
      <c r="AH202" s="1894"/>
      <c r="AI202" s="1894"/>
      <c r="AJ202" s="1894"/>
      <c r="AK202" s="1894"/>
      <c r="AL202" s="1894"/>
      <c r="AM202" s="1894"/>
      <c r="AN202" s="16128"/>
      <c r="AO202" s="15973"/>
      <c r="AP202" s="16147"/>
      <c r="AQ202" s="15973"/>
      <c r="AR202" s="1894"/>
      <c r="AS202" s="1894"/>
      <c r="AT202" s="1894"/>
      <c r="AU202" s="1894"/>
      <c r="AV202" s="1894"/>
      <c r="AW202" s="1894"/>
      <c r="AX202" s="1894"/>
      <c r="AY202" s="16128"/>
      <c r="AZ202" s="15973"/>
      <c r="BA202" s="16128"/>
      <c r="BB202" s="15973"/>
      <c r="BC202" s="1894"/>
      <c r="BD202" s="1894"/>
      <c r="BE202" s="1894"/>
      <c r="BF202" s="1894"/>
      <c r="BG202" s="1894"/>
      <c r="BH202" s="1894"/>
      <c r="BI202" s="1894"/>
      <c r="BJ202" s="16128"/>
      <c r="BK202" s="15973"/>
      <c r="BL202" s="16128"/>
      <c r="BM202" s="15973"/>
      <c r="BN202" s="1894"/>
      <c r="BO202" s="1894"/>
      <c r="BP202" s="1894"/>
      <c r="BQ202" s="1894"/>
      <c r="BR202" s="1894"/>
      <c r="BS202" s="1894"/>
      <c r="BT202" s="1894"/>
      <c r="BU202" s="16128"/>
      <c r="BV202" s="15973"/>
      <c r="BW202" s="16128"/>
      <c r="BX202" s="15973"/>
      <c r="BY202" s="1894"/>
      <c r="BZ202" s="1894"/>
      <c r="CA202" s="1894"/>
      <c r="CB202" s="1894"/>
      <c r="CC202" s="1894"/>
      <c r="CD202" s="1894"/>
      <c r="CE202" s="1894"/>
      <c r="CF202" s="16128"/>
      <c r="CG202" s="15973"/>
      <c r="CH202" s="16128"/>
      <c r="CI202" s="15973"/>
      <c r="CJ202" s="1894"/>
      <c r="CK202" s="1894"/>
      <c r="CL202" s="1894"/>
      <c r="CM202" s="1894"/>
      <c r="CN202" s="1894"/>
      <c r="CO202" s="1894"/>
      <c r="CP202" s="1894"/>
      <c r="CQ202" s="16128"/>
      <c r="CR202" s="15973"/>
      <c r="CS202" s="16128"/>
      <c r="CT202" s="15973"/>
      <c r="CU202" s="1894"/>
      <c r="CV202" s="1894"/>
      <c r="CW202" s="1894"/>
      <c r="CX202" s="1894"/>
      <c r="CY202" s="1894"/>
      <c r="CZ202" s="1894"/>
      <c r="DA202" s="1894"/>
      <c r="DB202" s="16128"/>
      <c r="DC202" s="15973"/>
      <c r="DD202" s="16128"/>
      <c r="DE202" s="15973"/>
      <c r="DF202" s="1894"/>
      <c r="DG202" s="1894"/>
      <c r="DH202" s="1894"/>
      <c r="DI202" s="1894"/>
      <c r="DJ202" s="1894"/>
      <c r="DK202" s="1894"/>
      <c r="DL202" s="1894"/>
      <c r="DM202" s="16128"/>
      <c r="DN202" s="15973"/>
      <c r="DO202" s="16128"/>
      <c r="DP202" s="15973"/>
      <c r="DQ202" s="1894"/>
      <c r="DR202" s="1894"/>
      <c r="DS202" s="1894"/>
      <c r="DT202" s="1894"/>
      <c r="DU202" s="1894"/>
      <c r="DV202" s="1894"/>
      <c r="DW202" s="1894"/>
      <c r="DX202" s="16128"/>
      <c r="DY202" s="15973"/>
      <c r="DZ202" s="16128"/>
      <c r="EA202" s="15973"/>
      <c r="EB202" s="1894"/>
      <c r="EC202" s="1894"/>
      <c r="ED202" s="1894"/>
      <c r="EE202" s="1894"/>
      <c r="EF202" s="1894"/>
      <c r="EG202" s="1894"/>
      <c r="EH202" s="1894"/>
      <c r="EI202" s="16128"/>
      <c r="EJ202" s="15973"/>
      <c r="EK202" s="16128"/>
      <c r="EL202" s="15973"/>
      <c r="EM202" s="14449"/>
      <c r="EN202" s="14449"/>
      <c r="EO202" s="14449"/>
      <c r="EP202" s="14449"/>
      <c r="EQ202" s="14449"/>
      <c r="ER202" s="14449"/>
      <c r="ES202" s="14449"/>
      <c r="ET202" s="16128"/>
      <c r="EU202" s="15973"/>
      <c r="EV202" s="16128"/>
      <c r="EW202" s="15973"/>
      <c r="EX202" s="2523"/>
      <c r="EY202" s="16182"/>
      <c r="EZ202" s="2199"/>
      <c r="FA202" s="2512"/>
      <c r="FB202" s="2512" t="str">
        <f t="shared" si="3"/>
        <v/>
      </c>
      <c r="FC202" s="2512"/>
      <c r="FD202" s="2512"/>
    </row>
    <row r="203" spans="1:160" s="15172" customFormat="1" ht="21" customHeight="1">
      <c r="A203" s="2502"/>
      <c r="B203" s="2502"/>
      <c r="C203" s="2502"/>
      <c r="D203" s="2502"/>
      <c r="E203" s="16125"/>
      <c r="F203" s="16125" t="s">
        <v>89</v>
      </c>
      <c r="G203" s="16125"/>
      <c r="H203" s="16125"/>
      <c r="I203" s="16145"/>
      <c r="J203" s="16122"/>
      <c r="K203" s="2502"/>
      <c r="L203" s="2503"/>
      <c r="M203" s="2513"/>
      <c r="N203" s="2513"/>
      <c r="O203" s="2513"/>
      <c r="P203" s="16123"/>
      <c r="Q203" s="16123"/>
      <c r="R203" s="2515"/>
      <c r="S203" s="8193"/>
      <c r="T203" s="8194" t="s">
        <v>621</v>
      </c>
      <c r="U203" s="8195"/>
      <c r="V203" s="8196"/>
      <c r="W203" s="8197"/>
      <c r="X203" s="8198"/>
      <c r="Y203" s="8199"/>
      <c r="Z203" s="8200"/>
      <c r="AA203" s="8201"/>
      <c r="AB203" s="8202"/>
      <c r="AC203" s="8203"/>
      <c r="AD203" s="8204"/>
      <c r="AE203" s="8205"/>
      <c r="AF203" s="8206"/>
      <c r="AG203" s="8207"/>
      <c r="AH203" s="8208"/>
      <c r="AI203" s="8209"/>
      <c r="AJ203" s="8210"/>
      <c r="AK203" s="8211"/>
      <c r="AL203" s="8212"/>
      <c r="AM203" s="8213"/>
      <c r="AN203" s="8214"/>
      <c r="AO203" s="8215"/>
      <c r="AP203" s="8216"/>
      <c r="AQ203" s="8217"/>
      <c r="AR203" s="8218"/>
      <c r="AS203" s="8219"/>
      <c r="AT203" s="8220"/>
      <c r="AU203" s="8221"/>
      <c r="AV203" s="8222"/>
      <c r="AW203" s="8223"/>
      <c r="AX203" s="8224"/>
      <c r="AY203" s="8225"/>
      <c r="AZ203" s="8226"/>
      <c r="BA203" s="8227"/>
      <c r="BB203" s="8228"/>
      <c r="BC203" s="8229"/>
      <c r="BD203" s="8230"/>
      <c r="BE203" s="8231"/>
      <c r="BF203" s="8232"/>
      <c r="BG203" s="8233"/>
      <c r="BH203" s="8234"/>
      <c r="BI203" s="8235"/>
      <c r="BJ203" s="8236"/>
      <c r="BK203" s="8237"/>
      <c r="BL203" s="8238"/>
      <c r="BM203" s="8239"/>
      <c r="BN203" s="8240"/>
      <c r="BO203" s="8241"/>
      <c r="BP203" s="8242"/>
      <c r="BQ203" s="8243"/>
      <c r="BR203" s="8244"/>
      <c r="BS203" s="8245"/>
      <c r="BT203" s="8246"/>
      <c r="BU203" s="8247"/>
      <c r="BV203" s="8248"/>
      <c r="BW203" s="8249"/>
      <c r="BX203" s="8250"/>
      <c r="BY203" s="8251"/>
      <c r="BZ203" s="8252"/>
      <c r="CA203" s="8253"/>
      <c r="CB203" s="8254"/>
      <c r="CC203" s="8255"/>
      <c r="CD203" s="8256"/>
      <c r="CE203" s="8257"/>
      <c r="CF203" s="8258"/>
      <c r="CG203" s="8259"/>
      <c r="CH203" s="8260"/>
      <c r="CI203" s="8261"/>
      <c r="CJ203" s="8262"/>
      <c r="CK203" s="8263"/>
      <c r="CL203" s="8264"/>
      <c r="CM203" s="8265"/>
      <c r="CN203" s="8266"/>
      <c r="CO203" s="8267"/>
      <c r="CP203" s="8268"/>
      <c r="CQ203" s="8269"/>
      <c r="CR203" s="8270"/>
      <c r="CS203" s="8271"/>
      <c r="CT203" s="8272"/>
      <c r="CU203" s="8273"/>
      <c r="CV203" s="8274"/>
      <c r="CW203" s="8275"/>
      <c r="CX203" s="8276"/>
      <c r="CY203" s="8277"/>
      <c r="CZ203" s="8278"/>
      <c r="DA203" s="8279"/>
      <c r="DB203" s="8280"/>
      <c r="DC203" s="8281"/>
      <c r="DD203" s="8282"/>
      <c r="DE203" s="8283"/>
      <c r="DF203" s="8284"/>
      <c r="DG203" s="8285"/>
      <c r="DH203" s="8286"/>
      <c r="DI203" s="8287"/>
      <c r="DJ203" s="8288"/>
      <c r="DK203" s="8289"/>
      <c r="DL203" s="8290"/>
      <c r="DM203" s="8291"/>
      <c r="DN203" s="8292"/>
      <c r="DO203" s="8293"/>
      <c r="DP203" s="8294"/>
      <c r="DQ203" s="8295"/>
      <c r="DR203" s="8296"/>
      <c r="DS203" s="8297"/>
      <c r="DT203" s="8298"/>
      <c r="DU203" s="8299"/>
      <c r="DV203" s="8300"/>
      <c r="DW203" s="8301"/>
      <c r="DX203" s="8302"/>
      <c r="DY203" s="8303"/>
      <c r="DZ203" s="8304"/>
      <c r="EA203" s="8305"/>
      <c r="EB203" s="8306"/>
      <c r="EC203" s="8307"/>
      <c r="ED203" s="8308"/>
      <c r="EE203" s="8309"/>
      <c r="EF203" s="8310"/>
      <c r="EG203" s="8311"/>
      <c r="EH203" s="8312"/>
      <c r="EI203" s="8313"/>
      <c r="EJ203" s="8314"/>
      <c r="EK203" s="8315"/>
      <c r="EL203" s="8316"/>
      <c r="EM203" s="15173"/>
      <c r="EN203" s="15174"/>
      <c r="EO203" s="15175"/>
      <c r="EP203" s="15176"/>
      <c r="EQ203" s="15177"/>
      <c r="ER203" s="15178"/>
      <c r="ES203" s="15179"/>
      <c r="ET203" s="15180"/>
      <c r="EU203" s="15181"/>
      <c r="EV203" s="15182"/>
      <c r="EW203" s="15183"/>
      <c r="EX203" s="8317"/>
      <c r="EY203" s="2511" t="s">
        <v>622</v>
      </c>
      <c r="EZ203" s="2199"/>
      <c r="FA203" s="2512"/>
      <c r="FB203" s="2512" t="str">
        <f t="shared" si="3"/>
        <v>Добавить значение признака дифференциации</v>
      </c>
      <c r="FC203" s="2512"/>
      <c r="FD203" s="2512"/>
    </row>
    <row r="204" spans="1:160" s="15184" customFormat="1" ht="21" customHeight="1">
      <c r="A204" s="2502"/>
      <c r="B204" s="2502"/>
      <c r="C204" s="2502"/>
      <c r="D204" s="2502"/>
      <c r="E204" s="16125"/>
      <c r="F204" s="16125" t="s">
        <v>89</v>
      </c>
      <c r="G204" s="16125"/>
      <c r="H204" s="16125"/>
      <c r="I204" s="16122"/>
      <c r="J204" s="2502"/>
      <c r="K204" s="2502"/>
      <c r="L204" s="2503"/>
      <c r="M204" s="2513"/>
      <c r="N204" s="2513"/>
      <c r="O204" s="2513"/>
      <c r="P204" s="16123"/>
      <c r="Q204" s="2514"/>
      <c r="R204" s="2515"/>
      <c r="S204" s="8318"/>
      <c r="T204" s="8319" t="s">
        <v>549</v>
      </c>
      <c r="U204" s="8320"/>
      <c r="V204" s="8321"/>
      <c r="W204" s="8322"/>
      <c r="X204" s="8323"/>
      <c r="Y204" s="8324"/>
      <c r="Z204" s="8325"/>
      <c r="AA204" s="8326"/>
      <c r="AB204" s="8327"/>
      <c r="AC204" s="8328"/>
      <c r="AD204" s="8329"/>
      <c r="AE204" s="8330"/>
      <c r="AF204" s="8331"/>
      <c r="AG204" s="8332"/>
      <c r="AH204" s="8333"/>
      <c r="AI204" s="8334"/>
      <c r="AJ204" s="8335"/>
      <c r="AK204" s="8336"/>
      <c r="AL204" s="8337"/>
      <c r="AM204" s="8338"/>
      <c r="AN204" s="8339"/>
      <c r="AO204" s="8340"/>
      <c r="AP204" s="8341"/>
      <c r="AQ204" s="8342"/>
      <c r="AR204" s="8343"/>
      <c r="AS204" s="8344"/>
      <c r="AT204" s="8345"/>
      <c r="AU204" s="8346"/>
      <c r="AV204" s="8347"/>
      <c r="AW204" s="8348"/>
      <c r="AX204" s="8349"/>
      <c r="AY204" s="8350"/>
      <c r="AZ204" s="8351"/>
      <c r="BA204" s="8352"/>
      <c r="BB204" s="8353"/>
      <c r="BC204" s="8354"/>
      <c r="BD204" s="8355"/>
      <c r="BE204" s="8356"/>
      <c r="BF204" s="8357"/>
      <c r="BG204" s="8358"/>
      <c r="BH204" s="8359"/>
      <c r="BI204" s="8360"/>
      <c r="BJ204" s="8361"/>
      <c r="BK204" s="8362"/>
      <c r="BL204" s="8363"/>
      <c r="BM204" s="8364"/>
      <c r="BN204" s="8365"/>
      <c r="BO204" s="8366"/>
      <c r="BP204" s="8367"/>
      <c r="BQ204" s="8368"/>
      <c r="BR204" s="8369"/>
      <c r="BS204" s="8370"/>
      <c r="BT204" s="8371"/>
      <c r="BU204" s="8372"/>
      <c r="BV204" s="8373"/>
      <c r="BW204" s="8374"/>
      <c r="BX204" s="8375"/>
      <c r="BY204" s="8376"/>
      <c r="BZ204" s="8377"/>
      <c r="CA204" s="8378"/>
      <c r="CB204" s="8379"/>
      <c r="CC204" s="8380"/>
      <c r="CD204" s="8381"/>
      <c r="CE204" s="8382"/>
      <c r="CF204" s="8383"/>
      <c r="CG204" s="8384"/>
      <c r="CH204" s="8385"/>
      <c r="CI204" s="8386"/>
      <c r="CJ204" s="8387"/>
      <c r="CK204" s="8388"/>
      <c r="CL204" s="8389"/>
      <c r="CM204" s="8390"/>
      <c r="CN204" s="8391"/>
      <c r="CO204" s="8392"/>
      <c r="CP204" s="8393"/>
      <c r="CQ204" s="8394"/>
      <c r="CR204" s="8395"/>
      <c r="CS204" s="8396"/>
      <c r="CT204" s="8397"/>
      <c r="CU204" s="8398"/>
      <c r="CV204" s="8399"/>
      <c r="CW204" s="8400"/>
      <c r="CX204" s="8401"/>
      <c r="CY204" s="8402"/>
      <c r="CZ204" s="8403"/>
      <c r="DA204" s="8404"/>
      <c r="DB204" s="8405"/>
      <c r="DC204" s="8406"/>
      <c r="DD204" s="8407"/>
      <c r="DE204" s="8408"/>
      <c r="DF204" s="8409"/>
      <c r="DG204" s="8410"/>
      <c r="DH204" s="8411"/>
      <c r="DI204" s="8412"/>
      <c r="DJ204" s="8413"/>
      <c r="DK204" s="8414"/>
      <c r="DL204" s="8415"/>
      <c r="DM204" s="8416"/>
      <c r="DN204" s="8417"/>
      <c r="DO204" s="8418"/>
      <c r="DP204" s="8419"/>
      <c r="DQ204" s="8420"/>
      <c r="DR204" s="8421"/>
      <c r="DS204" s="8422"/>
      <c r="DT204" s="8423"/>
      <c r="DU204" s="8424"/>
      <c r="DV204" s="8425"/>
      <c r="DW204" s="8426"/>
      <c r="DX204" s="8427"/>
      <c r="DY204" s="8428"/>
      <c r="DZ204" s="8429"/>
      <c r="EA204" s="8430"/>
      <c r="EB204" s="8431"/>
      <c r="EC204" s="8432"/>
      <c r="ED204" s="8433"/>
      <c r="EE204" s="8434"/>
      <c r="EF204" s="8435"/>
      <c r="EG204" s="8436"/>
      <c r="EH204" s="8437"/>
      <c r="EI204" s="8438"/>
      <c r="EJ204" s="8439"/>
      <c r="EK204" s="8440"/>
      <c r="EL204" s="8441"/>
      <c r="EM204" s="15185"/>
      <c r="EN204" s="15186"/>
      <c r="EO204" s="15187"/>
      <c r="EP204" s="15188"/>
      <c r="EQ204" s="15189"/>
      <c r="ER204" s="15190"/>
      <c r="ES204" s="15191"/>
      <c r="ET204" s="15192"/>
      <c r="EU204" s="15193"/>
      <c r="EV204" s="15194"/>
      <c r="EW204" s="15195"/>
      <c r="EX204" s="8442"/>
      <c r="EY204" s="8443"/>
      <c r="EZ204" s="2199"/>
      <c r="FA204" s="2512"/>
      <c r="FB204" s="2512" t="str">
        <f t="shared" si="3"/>
        <v>Добавить группу потребителей</v>
      </c>
      <c r="FC204" s="2512"/>
      <c r="FD204" s="2512"/>
    </row>
    <row r="205" spans="1:160" s="15196" customFormat="1" ht="21" customHeight="1">
      <c r="A205" s="2502"/>
      <c r="B205" s="2502"/>
      <c r="C205" s="2502"/>
      <c r="D205" s="2502"/>
      <c r="E205" s="16125"/>
      <c r="F205" s="16125" t="s">
        <v>89</v>
      </c>
      <c r="G205" s="16125"/>
      <c r="H205" s="16124"/>
      <c r="I205" s="2502"/>
      <c r="J205" s="2502"/>
      <c r="K205" s="2502"/>
      <c r="L205" s="2503"/>
      <c r="M205" s="2504"/>
      <c r="N205" s="2504"/>
      <c r="O205" s="2193"/>
      <c r="P205" s="2775"/>
      <c r="Q205" s="2776"/>
      <c r="R205" s="2777"/>
      <c r="S205" s="8444"/>
      <c r="T205" s="8445" t="s">
        <v>623</v>
      </c>
      <c r="U205" s="8446"/>
      <c r="V205" s="8447"/>
      <c r="W205" s="8448"/>
      <c r="X205" s="8449"/>
      <c r="Y205" s="8450"/>
      <c r="Z205" s="8451"/>
      <c r="AA205" s="8452"/>
      <c r="AB205" s="8453"/>
      <c r="AC205" s="8454"/>
      <c r="AD205" s="8455"/>
      <c r="AE205" s="8456"/>
      <c r="AF205" s="8457"/>
      <c r="AG205" s="8458"/>
      <c r="AH205" s="8459"/>
      <c r="AI205" s="8460"/>
      <c r="AJ205" s="8461"/>
      <c r="AK205" s="8462"/>
      <c r="AL205" s="8463"/>
      <c r="AM205" s="8464"/>
      <c r="AN205" s="8465"/>
      <c r="AO205" s="8466"/>
      <c r="AP205" s="8467"/>
      <c r="AQ205" s="8468"/>
      <c r="AR205" s="8469"/>
      <c r="AS205" s="8470"/>
      <c r="AT205" s="8471"/>
      <c r="AU205" s="8472"/>
      <c r="AV205" s="8473"/>
      <c r="AW205" s="8474"/>
      <c r="AX205" s="8475"/>
      <c r="AY205" s="8476"/>
      <c r="AZ205" s="8477"/>
      <c r="BA205" s="8478"/>
      <c r="BB205" s="8479"/>
      <c r="BC205" s="8480"/>
      <c r="BD205" s="8481"/>
      <c r="BE205" s="8482"/>
      <c r="BF205" s="8483"/>
      <c r="BG205" s="8484"/>
      <c r="BH205" s="8485"/>
      <c r="BI205" s="8486"/>
      <c r="BJ205" s="8487"/>
      <c r="BK205" s="8488"/>
      <c r="BL205" s="8489"/>
      <c r="BM205" s="8490"/>
      <c r="BN205" s="8491"/>
      <c r="BO205" s="8492"/>
      <c r="BP205" s="8493"/>
      <c r="BQ205" s="8494"/>
      <c r="BR205" s="8495"/>
      <c r="BS205" s="8496"/>
      <c r="BT205" s="8497"/>
      <c r="BU205" s="8498"/>
      <c r="BV205" s="8499"/>
      <c r="BW205" s="8500"/>
      <c r="BX205" s="8501"/>
      <c r="BY205" s="8502"/>
      <c r="BZ205" s="8503"/>
      <c r="CA205" s="8504"/>
      <c r="CB205" s="8505"/>
      <c r="CC205" s="8506"/>
      <c r="CD205" s="8507"/>
      <c r="CE205" s="8508"/>
      <c r="CF205" s="8509"/>
      <c r="CG205" s="8510"/>
      <c r="CH205" s="8511"/>
      <c r="CI205" s="8512"/>
      <c r="CJ205" s="8513"/>
      <c r="CK205" s="8514"/>
      <c r="CL205" s="8515"/>
      <c r="CM205" s="8516"/>
      <c r="CN205" s="8517"/>
      <c r="CO205" s="8518"/>
      <c r="CP205" s="8519"/>
      <c r="CQ205" s="8520"/>
      <c r="CR205" s="8521"/>
      <c r="CS205" s="8522"/>
      <c r="CT205" s="8523"/>
      <c r="CU205" s="8524"/>
      <c r="CV205" s="8525"/>
      <c r="CW205" s="8526"/>
      <c r="CX205" s="8527"/>
      <c r="CY205" s="8528"/>
      <c r="CZ205" s="8529"/>
      <c r="DA205" s="8530"/>
      <c r="DB205" s="8531"/>
      <c r="DC205" s="8532"/>
      <c r="DD205" s="8533"/>
      <c r="DE205" s="8534"/>
      <c r="DF205" s="8535"/>
      <c r="DG205" s="8536"/>
      <c r="DH205" s="8537"/>
      <c r="DI205" s="8538"/>
      <c r="DJ205" s="8539"/>
      <c r="DK205" s="8540"/>
      <c r="DL205" s="8541"/>
      <c r="DM205" s="8542"/>
      <c r="DN205" s="8543"/>
      <c r="DO205" s="8544"/>
      <c r="DP205" s="8545"/>
      <c r="DQ205" s="8546"/>
      <c r="DR205" s="8547"/>
      <c r="DS205" s="8548"/>
      <c r="DT205" s="8549"/>
      <c r="DU205" s="8550"/>
      <c r="DV205" s="8551"/>
      <c r="DW205" s="8552"/>
      <c r="DX205" s="8553"/>
      <c r="DY205" s="8554"/>
      <c r="DZ205" s="8555"/>
      <c r="EA205" s="8556"/>
      <c r="EB205" s="8557"/>
      <c r="EC205" s="8558"/>
      <c r="ED205" s="8559"/>
      <c r="EE205" s="8560"/>
      <c r="EF205" s="8561"/>
      <c r="EG205" s="8562"/>
      <c r="EH205" s="8563"/>
      <c r="EI205" s="8564"/>
      <c r="EJ205" s="8565"/>
      <c r="EK205" s="8566"/>
      <c r="EL205" s="8567"/>
      <c r="EM205" s="15197"/>
      <c r="EN205" s="15198"/>
      <c r="EO205" s="15199"/>
      <c r="EP205" s="15200"/>
      <c r="EQ205" s="15201"/>
      <c r="ER205" s="15202"/>
      <c r="ES205" s="15203"/>
      <c r="ET205" s="15204"/>
      <c r="EU205" s="15205"/>
      <c r="EV205" s="15206"/>
      <c r="EW205" s="15207"/>
      <c r="EX205" s="8568"/>
      <c r="EY205" s="8569"/>
      <c r="EZ205" s="2199"/>
      <c r="FA205" s="2512"/>
      <c r="FB205" s="2512" t="str">
        <f t="shared" si="3"/>
        <v>Добавить наименование признака дифференциации</v>
      </c>
      <c r="FC205" s="2512"/>
      <c r="FD205" s="2512"/>
    </row>
    <row r="206" spans="1:160" s="15208" customFormat="1" ht="14.25" customHeight="1">
      <c r="A206" s="3283"/>
      <c r="B206" s="3283"/>
      <c r="C206" s="3283"/>
      <c r="D206" s="3283"/>
      <c r="E206" s="16125"/>
      <c r="F206" s="16124" t="s">
        <v>89</v>
      </c>
      <c r="G206" s="3283"/>
      <c r="H206" s="3283"/>
      <c r="I206" s="3283"/>
      <c r="J206" s="3283"/>
      <c r="K206" s="3283"/>
      <c r="L206" s="3284"/>
      <c r="M206" s="3285"/>
      <c r="N206" s="3285"/>
      <c r="O206" s="2199"/>
      <c r="P206" s="3286"/>
      <c r="Q206" s="3287"/>
      <c r="R206" s="3286"/>
      <c r="S206" s="3288"/>
      <c r="T206" s="3289" t="s">
        <v>290</v>
      </c>
      <c r="U206" s="2192"/>
      <c r="V206" s="2192"/>
      <c r="W206" s="2192"/>
      <c r="X206" s="2192"/>
      <c r="Y206" s="2192"/>
      <c r="Z206" s="2192"/>
      <c r="AA206" s="2192"/>
      <c r="AB206" s="2192"/>
      <c r="AC206" s="2192"/>
      <c r="AD206" s="2192"/>
      <c r="AE206" s="2192"/>
      <c r="AF206" s="2192"/>
      <c r="AG206" s="2192"/>
      <c r="AH206" s="2192"/>
      <c r="AI206" s="2192"/>
      <c r="AJ206" s="2192"/>
      <c r="AK206" s="2192"/>
      <c r="AL206" s="2192"/>
      <c r="AM206" s="2192"/>
      <c r="AN206" s="2192"/>
      <c r="AO206" s="2192"/>
      <c r="AP206" s="2192"/>
      <c r="AQ206" s="2192"/>
      <c r="AR206" s="2192"/>
      <c r="AS206" s="2192"/>
      <c r="AT206" s="2192"/>
      <c r="AU206" s="2192"/>
      <c r="AV206" s="2192"/>
      <c r="AW206" s="2192"/>
      <c r="AX206" s="2192"/>
      <c r="AY206" s="2192"/>
      <c r="AZ206" s="2192"/>
      <c r="BA206" s="2192"/>
      <c r="BB206" s="2192"/>
      <c r="BC206" s="2192"/>
      <c r="BD206" s="2192"/>
      <c r="BE206" s="2192"/>
      <c r="BF206" s="2192"/>
      <c r="BG206" s="2192"/>
      <c r="BH206" s="2192"/>
      <c r="BI206" s="2192"/>
      <c r="BJ206" s="2192"/>
      <c r="BK206" s="2192"/>
      <c r="BL206" s="2192"/>
      <c r="BM206" s="2192"/>
      <c r="BN206" s="2192"/>
      <c r="BO206" s="2192"/>
      <c r="BP206" s="2192"/>
      <c r="BQ206" s="2192"/>
      <c r="BR206" s="2192"/>
      <c r="BS206" s="2192"/>
      <c r="BT206" s="2192"/>
      <c r="BU206" s="2192"/>
      <c r="BV206" s="2192"/>
      <c r="BW206" s="2192"/>
      <c r="BX206" s="2192"/>
      <c r="BY206" s="2192"/>
      <c r="BZ206" s="2192"/>
      <c r="CA206" s="2192"/>
      <c r="CB206" s="2192"/>
      <c r="CC206" s="2192"/>
      <c r="CD206" s="2192"/>
      <c r="CE206" s="2192"/>
      <c r="CF206" s="2192"/>
      <c r="CG206" s="2192"/>
      <c r="CH206" s="2192"/>
      <c r="CI206" s="2192"/>
      <c r="CJ206" s="2192"/>
      <c r="CK206" s="2192"/>
      <c r="CL206" s="2192"/>
      <c r="CM206" s="2192"/>
      <c r="CN206" s="2192"/>
      <c r="CO206" s="2192"/>
      <c r="CP206" s="2192"/>
      <c r="CQ206" s="2192"/>
      <c r="CR206" s="2192"/>
      <c r="CS206" s="2192"/>
      <c r="CT206" s="2192"/>
      <c r="CU206" s="2192"/>
      <c r="CV206" s="2192"/>
      <c r="CW206" s="2192"/>
      <c r="CX206" s="2192"/>
      <c r="CY206" s="2192"/>
      <c r="CZ206" s="2192"/>
      <c r="DA206" s="2192"/>
      <c r="DB206" s="2192"/>
      <c r="DC206" s="2192"/>
      <c r="DD206" s="2192"/>
      <c r="DE206" s="2192"/>
      <c r="DF206" s="2192"/>
      <c r="DG206" s="2192"/>
      <c r="DH206" s="2192"/>
      <c r="DI206" s="2192"/>
      <c r="DJ206" s="2192"/>
      <c r="DK206" s="2192"/>
      <c r="DL206" s="2192"/>
      <c r="DM206" s="2192"/>
      <c r="DN206" s="2192"/>
      <c r="DO206" s="2192"/>
      <c r="DP206" s="2192"/>
      <c r="DQ206" s="2192"/>
      <c r="DR206" s="2192"/>
      <c r="DS206" s="2192"/>
      <c r="DT206" s="2192"/>
      <c r="DU206" s="2192"/>
      <c r="DV206" s="2192"/>
      <c r="DW206" s="2192"/>
      <c r="DX206" s="2192"/>
      <c r="DY206" s="2192"/>
      <c r="DZ206" s="2192"/>
      <c r="EA206" s="2192"/>
      <c r="EB206" s="2192"/>
      <c r="EC206" s="2192"/>
      <c r="ED206" s="2192"/>
      <c r="EE206" s="2192"/>
      <c r="EF206" s="2192"/>
      <c r="EG206" s="2192"/>
      <c r="EH206" s="2192"/>
      <c r="EI206" s="2192"/>
      <c r="EJ206" s="2192"/>
      <c r="EK206" s="2192"/>
      <c r="EL206" s="2192"/>
      <c r="EM206" s="14483"/>
      <c r="EN206" s="14483"/>
      <c r="EO206" s="14483"/>
      <c r="EP206" s="14483"/>
      <c r="EQ206" s="14483"/>
      <c r="ER206" s="14483"/>
      <c r="ES206" s="14483"/>
      <c r="ET206" s="14483"/>
      <c r="EU206" s="14483"/>
      <c r="EV206" s="14483"/>
      <c r="EW206" s="14483"/>
      <c r="EX206" s="2192"/>
      <c r="EY206" s="2192"/>
      <c r="EZ206" s="2199"/>
      <c r="FA206" s="2512"/>
      <c r="FB206" s="2512" t="str">
        <f t="shared" si="3"/>
        <v>Добавить централизованную систему для дифференциации</v>
      </c>
      <c r="FC206" s="2512"/>
      <c r="FD206" s="2512"/>
    </row>
    <row r="207" spans="1:160" s="15209" customFormat="1" ht="23.25" customHeight="1">
      <c r="A207" s="2502"/>
      <c r="B207" s="2502" t="s">
        <v>344</v>
      </c>
      <c r="C207" s="2502"/>
      <c r="D207" s="2502"/>
      <c r="E207" s="16125"/>
      <c r="F207" s="16124" t="s">
        <v>117</v>
      </c>
      <c r="G207" s="2502"/>
      <c r="H207" s="2502"/>
      <c r="I207" s="2502"/>
      <c r="J207" s="2502"/>
      <c r="K207" s="2502"/>
      <c r="L207" s="2503"/>
      <c r="M207" s="2504"/>
      <c r="N207" s="2504"/>
      <c r="O207" s="2504"/>
      <c r="P207" s="2904"/>
      <c r="Q207" s="2506"/>
      <c r="R207" s="2507"/>
      <c r="S207" s="2508" t="str">
        <f>INDEX(PT_DIFFERENTIATION_NUM_TER,MATCH(B207,PT_DIFFERENTIATION_TER_ID,0))</f>
        <v>2.5</v>
      </c>
      <c r="T207" s="2905" t="s">
        <v>534</v>
      </c>
      <c r="U207" s="2510"/>
      <c r="V207" s="16110"/>
      <c r="W207" s="16111"/>
      <c r="X207" s="16111"/>
      <c r="Y207" s="16111"/>
      <c r="Z207" s="16111"/>
      <c r="AA207" s="16111"/>
      <c r="AB207" s="16111"/>
      <c r="AC207" s="16111"/>
      <c r="AD207" s="16111"/>
      <c r="AE207" s="16111"/>
      <c r="AF207" s="16112"/>
      <c r="AG207" s="16110" t="str">
        <f>INDEX(PT_DIFFERENTIATION_TER,MATCH(B207,PT_DIFFERENTIATION_TER_ID,0))</f>
        <v>Территория 5</v>
      </c>
      <c r="AH207" s="16111"/>
      <c r="AI207" s="16111"/>
      <c r="AJ207" s="16111"/>
      <c r="AK207" s="16111"/>
      <c r="AL207" s="16111"/>
      <c r="AM207" s="16111"/>
      <c r="AN207" s="16111"/>
      <c r="AO207" s="16111"/>
      <c r="AP207" s="16111"/>
      <c r="AQ207" s="16111"/>
      <c r="AR207" s="16110"/>
      <c r="AS207" s="16111"/>
      <c r="AT207" s="16111"/>
      <c r="AU207" s="16111"/>
      <c r="AV207" s="16111"/>
      <c r="AW207" s="16111"/>
      <c r="AX207" s="16111"/>
      <c r="AY207" s="16111"/>
      <c r="AZ207" s="16111"/>
      <c r="BA207" s="16111"/>
      <c r="BB207" s="16112"/>
      <c r="BC207" s="16110"/>
      <c r="BD207" s="16111"/>
      <c r="BE207" s="16111"/>
      <c r="BF207" s="16111"/>
      <c r="BG207" s="16111"/>
      <c r="BH207" s="16111"/>
      <c r="BI207" s="16111"/>
      <c r="BJ207" s="16111"/>
      <c r="BK207" s="16111"/>
      <c r="BL207" s="16111"/>
      <c r="BM207" s="16112"/>
      <c r="BN207" s="16110"/>
      <c r="BO207" s="16111"/>
      <c r="BP207" s="16111"/>
      <c r="BQ207" s="16111"/>
      <c r="BR207" s="16111"/>
      <c r="BS207" s="16111"/>
      <c r="BT207" s="16111"/>
      <c r="BU207" s="16111"/>
      <c r="BV207" s="16111"/>
      <c r="BW207" s="16111"/>
      <c r="BX207" s="16112"/>
      <c r="BY207" s="16110"/>
      <c r="BZ207" s="16111"/>
      <c r="CA207" s="16111"/>
      <c r="CB207" s="16111"/>
      <c r="CC207" s="16111"/>
      <c r="CD207" s="16111"/>
      <c r="CE207" s="16111"/>
      <c r="CF207" s="16111"/>
      <c r="CG207" s="16111"/>
      <c r="CH207" s="16111"/>
      <c r="CI207" s="16112"/>
      <c r="CJ207" s="16110"/>
      <c r="CK207" s="16111"/>
      <c r="CL207" s="16111"/>
      <c r="CM207" s="16111"/>
      <c r="CN207" s="16111"/>
      <c r="CO207" s="16111"/>
      <c r="CP207" s="16111"/>
      <c r="CQ207" s="16111"/>
      <c r="CR207" s="16111"/>
      <c r="CS207" s="16111"/>
      <c r="CT207" s="16112"/>
      <c r="CU207" s="16110"/>
      <c r="CV207" s="16111"/>
      <c r="CW207" s="16111"/>
      <c r="CX207" s="16111"/>
      <c r="CY207" s="16111"/>
      <c r="CZ207" s="16111"/>
      <c r="DA207" s="16111"/>
      <c r="DB207" s="16111"/>
      <c r="DC207" s="16111"/>
      <c r="DD207" s="16111"/>
      <c r="DE207" s="16112"/>
      <c r="DF207" s="16110"/>
      <c r="DG207" s="16111"/>
      <c r="DH207" s="16111"/>
      <c r="DI207" s="16111"/>
      <c r="DJ207" s="16111"/>
      <c r="DK207" s="16111"/>
      <c r="DL207" s="16111"/>
      <c r="DM207" s="16111"/>
      <c r="DN207" s="16111"/>
      <c r="DO207" s="16111"/>
      <c r="DP207" s="16112"/>
      <c r="DQ207" s="16110"/>
      <c r="DR207" s="16111"/>
      <c r="DS207" s="16111"/>
      <c r="DT207" s="16111"/>
      <c r="DU207" s="16111"/>
      <c r="DV207" s="16111"/>
      <c r="DW207" s="16111"/>
      <c r="DX207" s="16111"/>
      <c r="DY207" s="16111"/>
      <c r="DZ207" s="16111"/>
      <c r="EA207" s="16112"/>
      <c r="EB207" s="16110"/>
      <c r="EC207" s="16111"/>
      <c r="ED207" s="16111"/>
      <c r="EE207" s="16111"/>
      <c r="EF207" s="16111"/>
      <c r="EG207" s="16111"/>
      <c r="EH207" s="16111"/>
      <c r="EI207" s="16111"/>
      <c r="EJ207" s="16111"/>
      <c r="EK207" s="16111"/>
      <c r="EL207" s="16112"/>
      <c r="EM207" s="16110"/>
      <c r="EN207" s="16111"/>
      <c r="EO207" s="16111"/>
      <c r="EP207" s="16111"/>
      <c r="EQ207" s="16111"/>
      <c r="ER207" s="16111"/>
      <c r="ES207" s="16111"/>
      <c r="ET207" s="16111"/>
      <c r="EU207" s="16111"/>
      <c r="EV207" s="16111"/>
      <c r="EW207" s="16112"/>
      <c r="EX207" s="16112"/>
      <c r="EY207" s="2511" t="s">
        <v>535</v>
      </c>
      <c r="EZ207" s="2199"/>
      <c r="FA207" s="2512"/>
      <c r="FB207" s="2512" t="str">
        <f t="shared" si="3"/>
        <v>Территория действия тарифа</v>
      </c>
      <c r="FC207" s="2512"/>
      <c r="FD207" s="2512"/>
    </row>
    <row r="208" spans="1:160" s="15210" customFormat="1" ht="23.25" customHeight="1">
      <c r="A208" s="2502"/>
      <c r="B208" s="2502"/>
      <c r="C208" s="2502" t="s">
        <v>345</v>
      </c>
      <c r="D208" s="2502"/>
      <c r="E208" s="16125"/>
      <c r="F208" s="16125" t="s">
        <v>90</v>
      </c>
      <c r="G208" s="16124">
        <v>1</v>
      </c>
      <c r="H208" s="2502"/>
      <c r="I208" s="2502"/>
      <c r="J208" s="2502"/>
      <c r="K208" s="2502"/>
      <c r="L208" s="2503"/>
      <c r="M208" s="2504"/>
      <c r="N208" s="2504"/>
      <c r="O208" s="2504"/>
      <c r="P208" s="2505"/>
      <c r="Q208" s="2506"/>
      <c r="R208" s="2507"/>
      <c r="S208" s="2508" t="str">
        <f>INDEX(PT_DIFFERENTIATION_NUM_CS,MATCH(C208,PT_DIFFERENTIATION_CS_ID,0))</f>
        <v>2.5.1</v>
      </c>
      <c r="T208" s="2509" t="s">
        <v>665</v>
      </c>
      <c r="U208" s="2510"/>
      <c r="V208" s="16110"/>
      <c r="W208" s="16111"/>
      <c r="X208" s="16111"/>
      <c r="Y208" s="16111"/>
      <c r="Z208" s="16111"/>
      <c r="AA208" s="16111"/>
      <c r="AB208" s="16111"/>
      <c r="AC208" s="16111"/>
      <c r="AD208" s="16111"/>
      <c r="AE208" s="16111"/>
      <c r="AF208" s="16112"/>
      <c r="AG208" s="16110" t="str">
        <f>INDEX(PT_DIFFERENTIATION_CS,MATCH(C208,PT_DIFFERENTIATION_CS_ID,0))</f>
        <v>с.п. Ловозеро</v>
      </c>
      <c r="AH208" s="16111"/>
      <c r="AI208" s="16111"/>
      <c r="AJ208" s="16111"/>
      <c r="AK208" s="16111"/>
      <c r="AL208" s="16111"/>
      <c r="AM208" s="16111"/>
      <c r="AN208" s="16111"/>
      <c r="AO208" s="16111"/>
      <c r="AP208" s="16111"/>
      <c r="AQ208" s="16111"/>
      <c r="AR208" s="16110"/>
      <c r="AS208" s="16111"/>
      <c r="AT208" s="16111"/>
      <c r="AU208" s="16111"/>
      <c r="AV208" s="16111"/>
      <c r="AW208" s="16111"/>
      <c r="AX208" s="16111"/>
      <c r="AY208" s="16111"/>
      <c r="AZ208" s="16111"/>
      <c r="BA208" s="16111"/>
      <c r="BB208" s="16112"/>
      <c r="BC208" s="16110"/>
      <c r="BD208" s="16111"/>
      <c r="BE208" s="16111"/>
      <c r="BF208" s="16111"/>
      <c r="BG208" s="16111"/>
      <c r="BH208" s="16111"/>
      <c r="BI208" s="16111"/>
      <c r="BJ208" s="16111"/>
      <c r="BK208" s="16111"/>
      <c r="BL208" s="16111"/>
      <c r="BM208" s="16112"/>
      <c r="BN208" s="16110"/>
      <c r="BO208" s="16111"/>
      <c r="BP208" s="16111"/>
      <c r="BQ208" s="16111"/>
      <c r="BR208" s="16111"/>
      <c r="BS208" s="16111"/>
      <c r="BT208" s="16111"/>
      <c r="BU208" s="16111"/>
      <c r="BV208" s="16111"/>
      <c r="BW208" s="16111"/>
      <c r="BX208" s="16112"/>
      <c r="BY208" s="16110"/>
      <c r="BZ208" s="16111"/>
      <c r="CA208" s="16111"/>
      <c r="CB208" s="16111"/>
      <c r="CC208" s="16111"/>
      <c r="CD208" s="16111"/>
      <c r="CE208" s="16111"/>
      <c r="CF208" s="16111"/>
      <c r="CG208" s="16111"/>
      <c r="CH208" s="16111"/>
      <c r="CI208" s="16112"/>
      <c r="CJ208" s="16110"/>
      <c r="CK208" s="16111"/>
      <c r="CL208" s="16111"/>
      <c r="CM208" s="16111"/>
      <c r="CN208" s="16111"/>
      <c r="CO208" s="16111"/>
      <c r="CP208" s="16111"/>
      <c r="CQ208" s="16111"/>
      <c r="CR208" s="16111"/>
      <c r="CS208" s="16111"/>
      <c r="CT208" s="16112"/>
      <c r="CU208" s="16110"/>
      <c r="CV208" s="16111"/>
      <c r="CW208" s="16111"/>
      <c r="CX208" s="16111"/>
      <c r="CY208" s="16111"/>
      <c r="CZ208" s="16111"/>
      <c r="DA208" s="16111"/>
      <c r="DB208" s="16111"/>
      <c r="DC208" s="16111"/>
      <c r="DD208" s="16111"/>
      <c r="DE208" s="16112"/>
      <c r="DF208" s="16110"/>
      <c r="DG208" s="16111"/>
      <c r="DH208" s="16111"/>
      <c r="DI208" s="16111"/>
      <c r="DJ208" s="16111"/>
      <c r="DK208" s="16111"/>
      <c r="DL208" s="16111"/>
      <c r="DM208" s="16111"/>
      <c r="DN208" s="16111"/>
      <c r="DO208" s="16111"/>
      <c r="DP208" s="16112"/>
      <c r="DQ208" s="16110"/>
      <c r="DR208" s="16111"/>
      <c r="DS208" s="16111"/>
      <c r="DT208" s="16111"/>
      <c r="DU208" s="16111"/>
      <c r="DV208" s="16111"/>
      <c r="DW208" s="16111"/>
      <c r="DX208" s="16111"/>
      <c r="DY208" s="16111"/>
      <c r="DZ208" s="16111"/>
      <c r="EA208" s="16112"/>
      <c r="EB208" s="16110"/>
      <c r="EC208" s="16111"/>
      <c r="ED208" s="16111"/>
      <c r="EE208" s="16111"/>
      <c r="EF208" s="16111"/>
      <c r="EG208" s="16111"/>
      <c r="EH208" s="16111"/>
      <c r="EI208" s="16111"/>
      <c r="EJ208" s="16111"/>
      <c r="EK208" s="16111"/>
      <c r="EL208" s="16112"/>
      <c r="EM208" s="16110"/>
      <c r="EN208" s="16111"/>
      <c r="EO208" s="16111"/>
      <c r="EP208" s="16111"/>
      <c r="EQ208" s="16111"/>
      <c r="ER208" s="16111"/>
      <c r="ES208" s="16111"/>
      <c r="ET208" s="16111"/>
      <c r="EU208" s="16111"/>
      <c r="EV208" s="16111"/>
      <c r="EW208" s="16112"/>
      <c r="EX208" s="16112"/>
      <c r="EY208" s="2511" t="s">
        <v>666</v>
      </c>
      <c r="EZ208" s="2199"/>
      <c r="FA208" s="2512"/>
      <c r="FB208" s="2512" t="str">
        <f t="shared" si="3"/>
        <v>Наименование централизованной системы горячего водоснабжения</v>
      </c>
      <c r="FC208" s="2512"/>
      <c r="FD208" s="2512"/>
    </row>
    <row r="209" spans="1:160" s="15211" customFormat="1" ht="23.25" customHeight="1">
      <c r="A209" s="2502"/>
      <c r="B209" s="2502"/>
      <c r="C209" s="2502"/>
      <c r="D209" s="2502"/>
      <c r="E209" s="16125"/>
      <c r="F209" s="16125" t="s">
        <v>90</v>
      </c>
      <c r="G209" s="16125"/>
      <c r="H209" s="16125"/>
      <c r="I209" s="16122" t="str">
        <f>S208&amp;".1"</f>
        <v>2.5.1.1</v>
      </c>
      <c r="J209" s="2502"/>
      <c r="K209" s="2502"/>
      <c r="L209" s="2503"/>
      <c r="M209" s="2513"/>
      <c r="N209" s="2513"/>
      <c r="O209" s="2513"/>
      <c r="P209" s="16123">
        <v>1</v>
      </c>
      <c r="Q209" s="2514"/>
      <c r="R209" s="2515"/>
      <c r="S209" s="2508" t="str">
        <f>$I209</f>
        <v>2.5.1.1</v>
      </c>
      <c r="T209" s="2516" t="s">
        <v>618</v>
      </c>
      <c r="U209" s="2510"/>
      <c r="V209" s="16183"/>
      <c r="W209" s="16184"/>
      <c r="X209" s="16184"/>
      <c r="Y209" s="16184"/>
      <c r="Z209" s="16184"/>
      <c r="AA209" s="16184"/>
      <c r="AB209" s="16184"/>
      <c r="AC209" s="16184"/>
      <c r="AD209" s="16184"/>
      <c r="AE209" s="16184"/>
      <c r="AF209" s="16185"/>
      <c r="AG209" s="16186"/>
      <c r="AH209" s="16187"/>
      <c r="AI209" s="16187"/>
      <c r="AJ209" s="16187"/>
      <c r="AK209" s="16187"/>
      <c r="AL209" s="16187"/>
      <c r="AM209" s="16187"/>
      <c r="AN209" s="16187"/>
      <c r="AO209" s="16187"/>
      <c r="AP209" s="16187"/>
      <c r="AQ209" s="16187"/>
      <c r="AR209" s="16183"/>
      <c r="AS209" s="16184"/>
      <c r="AT209" s="16184"/>
      <c r="AU209" s="16184"/>
      <c r="AV209" s="16184"/>
      <c r="AW209" s="16184"/>
      <c r="AX209" s="16184"/>
      <c r="AY209" s="16184"/>
      <c r="AZ209" s="16184"/>
      <c r="BA209" s="16184"/>
      <c r="BB209" s="16185"/>
      <c r="BC209" s="16183"/>
      <c r="BD209" s="16184"/>
      <c r="BE209" s="16184"/>
      <c r="BF209" s="16184"/>
      <c r="BG209" s="16184"/>
      <c r="BH209" s="16184"/>
      <c r="BI209" s="16184"/>
      <c r="BJ209" s="16184"/>
      <c r="BK209" s="16184"/>
      <c r="BL209" s="16184"/>
      <c r="BM209" s="16185"/>
      <c r="BN209" s="16183"/>
      <c r="BO209" s="16184"/>
      <c r="BP209" s="16184"/>
      <c r="BQ209" s="16184"/>
      <c r="BR209" s="16184"/>
      <c r="BS209" s="16184"/>
      <c r="BT209" s="16184"/>
      <c r="BU209" s="16184"/>
      <c r="BV209" s="16184"/>
      <c r="BW209" s="16184"/>
      <c r="BX209" s="16185"/>
      <c r="BY209" s="16183"/>
      <c r="BZ209" s="16184"/>
      <c r="CA209" s="16184"/>
      <c r="CB209" s="16184"/>
      <c r="CC209" s="16184"/>
      <c r="CD209" s="16184"/>
      <c r="CE209" s="16184"/>
      <c r="CF209" s="16184"/>
      <c r="CG209" s="16184"/>
      <c r="CH209" s="16184"/>
      <c r="CI209" s="16185"/>
      <c r="CJ209" s="16183"/>
      <c r="CK209" s="16184"/>
      <c r="CL209" s="16184"/>
      <c r="CM209" s="16184"/>
      <c r="CN209" s="16184"/>
      <c r="CO209" s="16184"/>
      <c r="CP209" s="16184"/>
      <c r="CQ209" s="16184"/>
      <c r="CR209" s="16184"/>
      <c r="CS209" s="16184"/>
      <c r="CT209" s="16185"/>
      <c r="CU209" s="16183"/>
      <c r="CV209" s="16184"/>
      <c r="CW209" s="16184"/>
      <c r="CX209" s="16184"/>
      <c r="CY209" s="16184"/>
      <c r="CZ209" s="16184"/>
      <c r="DA209" s="16184"/>
      <c r="DB209" s="16184"/>
      <c r="DC209" s="16184"/>
      <c r="DD209" s="16184"/>
      <c r="DE209" s="16185"/>
      <c r="DF209" s="16183"/>
      <c r="DG209" s="16184"/>
      <c r="DH209" s="16184"/>
      <c r="DI209" s="16184"/>
      <c r="DJ209" s="16184"/>
      <c r="DK209" s="16184"/>
      <c r="DL209" s="16184"/>
      <c r="DM209" s="16184"/>
      <c r="DN209" s="16184"/>
      <c r="DO209" s="16184"/>
      <c r="DP209" s="16185"/>
      <c r="DQ209" s="16183"/>
      <c r="DR209" s="16184"/>
      <c r="DS209" s="16184"/>
      <c r="DT209" s="16184"/>
      <c r="DU209" s="16184"/>
      <c r="DV209" s="16184"/>
      <c r="DW209" s="16184"/>
      <c r="DX209" s="16184"/>
      <c r="DY209" s="16184"/>
      <c r="DZ209" s="16184"/>
      <c r="EA209" s="16185"/>
      <c r="EB209" s="16183"/>
      <c r="EC209" s="16184"/>
      <c r="ED209" s="16184"/>
      <c r="EE209" s="16184"/>
      <c r="EF209" s="16184"/>
      <c r="EG209" s="16184"/>
      <c r="EH209" s="16184"/>
      <c r="EI209" s="16184"/>
      <c r="EJ209" s="16184"/>
      <c r="EK209" s="16184"/>
      <c r="EL209" s="16185"/>
      <c r="EM209" s="16183"/>
      <c r="EN209" s="16184"/>
      <c r="EO209" s="16184"/>
      <c r="EP209" s="16184"/>
      <c r="EQ209" s="16184"/>
      <c r="ER209" s="16184"/>
      <c r="ES209" s="16184"/>
      <c r="ET209" s="16184"/>
      <c r="EU209" s="16184"/>
      <c r="EV209" s="16184"/>
      <c r="EW209" s="16185"/>
      <c r="EX209" s="16188"/>
      <c r="EY209" s="2511" t="s">
        <v>619</v>
      </c>
      <c r="EZ209" s="2199"/>
      <c r="FA209" s="2512"/>
      <c r="FB209" s="2512" t="str">
        <f t="shared" si="3"/>
        <v>Наименование признака дифференциации</v>
      </c>
      <c r="FC209" s="2512"/>
      <c r="FD209" s="2512"/>
    </row>
    <row r="210" spans="1:160" s="15212" customFormat="1" ht="23.25" customHeight="1">
      <c r="A210" s="2502"/>
      <c r="B210" s="2502"/>
      <c r="C210" s="2502"/>
      <c r="D210" s="2502"/>
      <c r="E210" s="16125"/>
      <c r="F210" s="16125" t="s">
        <v>90</v>
      </c>
      <c r="G210" s="16125"/>
      <c r="H210" s="16125"/>
      <c r="I210" s="16145"/>
      <c r="J210" s="16122" t="str">
        <f>I209&amp;".1"</f>
        <v>2.5.1.1.1</v>
      </c>
      <c r="K210" s="2502"/>
      <c r="L210" s="2503" t="s">
        <v>543</v>
      </c>
      <c r="M210" s="2513"/>
      <c r="N210" s="2513"/>
      <c r="O210" s="2513"/>
      <c r="P210" s="16123"/>
      <c r="Q210" s="16123">
        <v>1</v>
      </c>
      <c r="R210" s="2517"/>
      <c r="S210" s="2508" t="str">
        <f>$J210</f>
        <v>2.5.1.1.1</v>
      </c>
      <c r="T210" s="2518" t="s">
        <v>544</v>
      </c>
      <c r="U210" s="2510"/>
      <c r="V210" s="16113"/>
      <c r="W210" s="16114"/>
      <c r="X210" s="16114"/>
      <c r="Y210" s="16114"/>
      <c r="Z210" s="16114"/>
      <c r="AA210" s="16114"/>
      <c r="AB210" s="16114"/>
      <c r="AC210" s="16114"/>
      <c r="AD210" s="16114"/>
      <c r="AE210" s="16114"/>
      <c r="AF210" s="16115"/>
      <c r="AG210" s="16113" t="s">
        <v>679</v>
      </c>
      <c r="AH210" s="16114"/>
      <c r="AI210" s="16114"/>
      <c r="AJ210" s="16114"/>
      <c r="AK210" s="16114"/>
      <c r="AL210" s="16114"/>
      <c r="AM210" s="16114"/>
      <c r="AN210" s="16114"/>
      <c r="AO210" s="16114"/>
      <c r="AP210" s="16114"/>
      <c r="AQ210" s="16114"/>
      <c r="AR210" s="16113"/>
      <c r="AS210" s="16114"/>
      <c r="AT210" s="16114"/>
      <c r="AU210" s="16114"/>
      <c r="AV210" s="16114"/>
      <c r="AW210" s="16114"/>
      <c r="AX210" s="16114"/>
      <c r="AY210" s="16114"/>
      <c r="AZ210" s="16114"/>
      <c r="BA210" s="16114"/>
      <c r="BB210" s="16115"/>
      <c r="BC210" s="16113"/>
      <c r="BD210" s="16114"/>
      <c r="BE210" s="16114"/>
      <c r="BF210" s="16114"/>
      <c r="BG210" s="16114"/>
      <c r="BH210" s="16114"/>
      <c r="BI210" s="16114"/>
      <c r="BJ210" s="16114"/>
      <c r="BK210" s="16114"/>
      <c r="BL210" s="16114"/>
      <c r="BM210" s="16115"/>
      <c r="BN210" s="16113"/>
      <c r="BO210" s="16114"/>
      <c r="BP210" s="16114"/>
      <c r="BQ210" s="16114"/>
      <c r="BR210" s="16114"/>
      <c r="BS210" s="16114"/>
      <c r="BT210" s="16114"/>
      <c r="BU210" s="16114"/>
      <c r="BV210" s="16114"/>
      <c r="BW210" s="16114"/>
      <c r="BX210" s="16115"/>
      <c r="BY210" s="16113"/>
      <c r="BZ210" s="16114"/>
      <c r="CA210" s="16114"/>
      <c r="CB210" s="16114"/>
      <c r="CC210" s="16114"/>
      <c r="CD210" s="16114"/>
      <c r="CE210" s="16114"/>
      <c r="CF210" s="16114"/>
      <c r="CG210" s="16114"/>
      <c r="CH210" s="16114"/>
      <c r="CI210" s="16115"/>
      <c r="CJ210" s="16113"/>
      <c r="CK210" s="16114"/>
      <c r="CL210" s="16114"/>
      <c r="CM210" s="16114"/>
      <c r="CN210" s="16114"/>
      <c r="CO210" s="16114"/>
      <c r="CP210" s="16114"/>
      <c r="CQ210" s="16114"/>
      <c r="CR210" s="16114"/>
      <c r="CS210" s="16114"/>
      <c r="CT210" s="16115"/>
      <c r="CU210" s="16113"/>
      <c r="CV210" s="16114"/>
      <c r="CW210" s="16114"/>
      <c r="CX210" s="16114"/>
      <c r="CY210" s="16114"/>
      <c r="CZ210" s="16114"/>
      <c r="DA210" s="16114"/>
      <c r="DB210" s="16114"/>
      <c r="DC210" s="16114"/>
      <c r="DD210" s="16114"/>
      <c r="DE210" s="16115"/>
      <c r="DF210" s="16113"/>
      <c r="DG210" s="16114"/>
      <c r="DH210" s="16114"/>
      <c r="DI210" s="16114"/>
      <c r="DJ210" s="16114"/>
      <c r="DK210" s="16114"/>
      <c r="DL210" s="16114"/>
      <c r="DM210" s="16114"/>
      <c r="DN210" s="16114"/>
      <c r="DO210" s="16114"/>
      <c r="DP210" s="16115"/>
      <c r="DQ210" s="16113"/>
      <c r="DR210" s="16114"/>
      <c r="DS210" s="16114"/>
      <c r="DT210" s="16114"/>
      <c r="DU210" s="16114"/>
      <c r="DV210" s="16114"/>
      <c r="DW210" s="16114"/>
      <c r="DX210" s="16114"/>
      <c r="DY210" s="16114"/>
      <c r="DZ210" s="16114"/>
      <c r="EA210" s="16115"/>
      <c r="EB210" s="16113"/>
      <c r="EC210" s="16114"/>
      <c r="ED210" s="16114"/>
      <c r="EE210" s="16114"/>
      <c r="EF210" s="16114"/>
      <c r="EG210" s="16114"/>
      <c r="EH210" s="16114"/>
      <c r="EI210" s="16114"/>
      <c r="EJ210" s="16114"/>
      <c r="EK210" s="16114"/>
      <c r="EL210" s="16115"/>
      <c r="EM210" s="16113"/>
      <c r="EN210" s="16114"/>
      <c r="EO210" s="16114"/>
      <c r="EP210" s="16114"/>
      <c r="EQ210" s="16114"/>
      <c r="ER210" s="16114"/>
      <c r="ES210" s="16114"/>
      <c r="ET210" s="16114"/>
      <c r="EU210" s="16114"/>
      <c r="EV210" s="16114"/>
      <c r="EW210" s="16115"/>
      <c r="EX210" s="16115"/>
      <c r="EY210" s="2519" t="s">
        <v>620</v>
      </c>
      <c r="EZ210" s="2199"/>
      <c r="FA210" s="2512"/>
      <c r="FB210" s="2512" t="str">
        <f t="shared" si="3"/>
        <v>Группа потребителей</v>
      </c>
      <c r="FC210" s="2512"/>
      <c r="FD210" s="2512"/>
    </row>
    <row r="211" spans="1:160" s="15213" customFormat="1" ht="23.25" customHeight="1">
      <c r="A211" s="2502"/>
      <c r="B211" s="2502"/>
      <c r="C211" s="2502"/>
      <c r="D211" s="2502"/>
      <c r="E211" s="16125"/>
      <c r="F211" s="16125" t="s">
        <v>90</v>
      </c>
      <c r="G211" s="16125"/>
      <c r="H211" s="16125"/>
      <c r="I211" s="16145"/>
      <c r="J211" s="16145"/>
      <c r="K211" s="16122" t="str">
        <f>J210&amp;".1"</f>
        <v>2.5.1.1.1.1</v>
      </c>
      <c r="L211" s="2503"/>
      <c r="M211" s="2513"/>
      <c r="N211" s="2513"/>
      <c r="O211" s="2513"/>
      <c r="P211" s="16123"/>
      <c r="Q211" s="16123"/>
      <c r="R211" s="2517">
        <v>1</v>
      </c>
      <c r="S211" s="2508" t="str">
        <f>$K211</f>
        <v>2.5.1.1.1.1</v>
      </c>
      <c r="T211" s="2520"/>
      <c r="U211" s="2510"/>
      <c r="V211" s="1893"/>
      <c r="W211" s="1893"/>
      <c r="X211" s="1893"/>
      <c r="Y211" s="1893"/>
      <c r="Z211" s="1893"/>
      <c r="AA211" s="1893"/>
      <c r="AB211" s="1893"/>
      <c r="AC211" s="16127"/>
      <c r="AD211" s="15973" t="s">
        <v>66</v>
      </c>
      <c r="AE211" s="16127"/>
      <c r="AF211" s="15973" t="s">
        <v>66</v>
      </c>
      <c r="AG211" s="1893">
        <v>35.07</v>
      </c>
      <c r="AH211" s="1893"/>
      <c r="AI211" s="1893"/>
      <c r="AJ211" s="1893"/>
      <c r="AK211" s="1893">
        <v>5493.65</v>
      </c>
      <c r="AL211" s="1893"/>
      <c r="AM211" s="1893"/>
      <c r="AN211" s="16127">
        <v>45292</v>
      </c>
      <c r="AO211" s="15973" t="s">
        <v>66</v>
      </c>
      <c r="AP211" s="16146">
        <v>45378</v>
      </c>
      <c r="AQ211" s="15973" t="s">
        <v>66</v>
      </c>
      <c r="AR211" s="1893">
        <v>35.07</v>
      </c>
      <c r="AS211" s="1893"/>
      <c r="AT211" s="1893"/>
      <c r="AU211" s="1893"/>
      <c r="AV211" s="1893">
        <v>5493.65</v>
      </c>
      <c r="AW211" s="1893"/>
      <c r="AX211" s="1893"/>
      <c r="AY211" s="16127">
        <v>45379</v>
      </c>
      <c r="AZ211" s="15973" t="s">
        <v>66</v>
      </c>
      <c r="BA211" s="16127">
        <v>45473</v>
      </c>
      <c r="BB211" s="15973" t="s">
        <v>66</v>
      </c>
      <c r="BC211" s="1893">
        <v>38.96</v>
      </c>
      <c r="BD211" s="1893"/>
      <c r="BE211" s="1893"/>
      <c r="BF211" s="1893"/>
      <c r="BG211" s="1893">
        <v>5493.65</v>
      </c>
      <c r="BH211" s="1893"/>
      <c r="BI211" s="1893"/>
      <c r="BJ211" s="16127">
        <v>45474</v>
      </c>
      <c r="BK211" s="15973" t="s">
        <v>66</v>
      </c>
      <c r="BL211" s="16127">
        <v>45657</v>
      </c>
      <c r="BM211" s="15973" t="s">
        <v>66</v>
      </c>
      <c r="BN211" s="1893">
        <v>37.31</v>
      </c>
      <c r="BO211" s="1893"/>
      <c r="BP211" s="1893"/>
      <c r="BQ211" s="1893"/>
      <c r="BR211" s="1893">
        <v>5407.73</v>
      </c>
      <c r="BS211" s="1893"/>
      <c r="BT211" s="1893"/>
      <c r="BU211" s="16127">
        <v>45658</v>
      </c>
      <c r="BV211" s="15973" t="s">
        <v>66</v>
      </c>
      <c r="BW211" s="16127">
        <v>45838</v>
      </c>
      <c r="BX211" s="15973" t="s">
        <v>66</v>
      </c>
      <c r="BY211" s="1893">
        <v>37.369999999999997</v>
      </c>
      <c r="BZ211" s="1893"/>
      <c r="CA211" s="1893"/>
      <c r="CB211" s="1893"/>
      <c r="CC211" s="1893">
        <v>5407.73</v>
      </c>
      <c r="CD211" s="1893"/>
      <c r="CE211" s="1893"/>
      <c r="CF211" s="16127">
        <v>45839</v>
      </c>
      <c r="CG211" s="15973" t="s">
        <v>66</v>
      </c>
      <c r="CH211" s="16127">
        <v>46022</v>
      </c>
      <c r="CI211" s="15973" t="s">
        <v>66</v>
      </c>
      <c r="CJ211" s="1893">
        <v>37.369999999999997</v>
      </c>
      <c r="CK211" s="1893"/>
      <c r="CL211" s="1893"/>
      <c r="CM211" s="1893"/>
      <c r="CN211" s="1893">
        <v>5407.73</v>
      </c>
      <c r="CO211" s="1893"/>
      <c r="CP211" s="1893"/>
      <c r="CQ211" s="16127">
        <v>46023</v>
      </c>
      <c r="CR211" s="15973" t="s">
        <v>66</v>
      </c>
      <c r="CS211" s="16127">
        <v>46203</v>
      </c>
      <c r="CT211" s="15973" t="s">
        <v>66</v>
      </c>
      <c r="CU211" s="1893">
        <v>39.51</v>
      </c>
      <c r="CV211" s="1893"/>
      <c r="CW211" s="1893"/>
      <c r="CX211" s="1893"/>
      <c r="CY211" s="1893">
        <v>5692.46</v>
      </c>
      <c r="CZ211" s="1893"/>
      <c r="DA211" s="1893"/>
      <c r="DB211" s="16127">
        <v>46204</v>
      </c>
      <c r="DC211" s="15973" t="s">
        <v>66</v>
      </c>
      <c r="DD211" s="16127">
        <v>46387</v>
      </c>
      <c r="DE211" s="15973" t="s">
        <v>66</v>
      </c>
      <c r="DF211" s="1893">
        <v>39.51</v>
      </c>
      <c r="DG211" s="1893"/>
      <c r="DH211" s="1893"/>
      <c r="DI211" s="1893"/>
      <c r="DJ211" s="1893">
        <v>5674.41</v>
      </c>
      <c r="DK211" s="1893"/>
      <c r="DL211" s="1893"/>
      <c r="DM211" s="16127">
        <v>46388</v>
      </c>
      <c r="DN211" s="15973" t="s">
        <v>66</v>
      </c>
      <c r="DO211" s="16127">
        <v>46568</v>
      </c>
      <c r="DP211" s="15973" t="s">
        <v>66</v>
      </c>
      <c r="DQ211" s="1893">
        <v>39.82</v>
      </c>
      <c r="DR211" s="1893"/>
      <c r="DS211" s="1893"/>
      <c r="DT211" s="1893"/>
      <c r="DU211" s="1893">
        <v>5674.41</v>
      </c>
      <c r="DV211" s="1893"/>
      <c r="DW211" s="1893"/>
      <c r="DX211" s="16127">
        <v>46569</v>
      </c>
      <c r="DY211" s="15973" t="s">
        <v>66</v>
      </c>
      <c r="DZ211" s="16127">
        <v>46752</v>
      </c>
      <c r="EA211" s="15973" t="s">
        <v>66</v>
      </c>
      <c r="EB211" s="1893">
        <v>39.82</v>
      </c>
      <c r="EC211" s="1893"/>
      <c r="ED211" s="1893"/>
      <c r="EE211" s="1893"/>
      <c r="EF211" s="1893">
        <v>5674.41</v>
      </c>
      <c r="EG211" s="1893"/>
      <c r="EH211" s="1893"/>
      <c r="EI211" s="16127">
        <v>46753</v>
      </c>
      <c r="EJ211" s="15973" t="s">
        <v>66</v>
      </c>
      <c r="EK211" s="16127">
        <v>46934</v>
      </c>
      <c r="EL211" s="15973" t="s">
        <v>66</v>
      </c>
      <c r="EM211" s="14448">
        <v>41.41</v>
      </c>
      <c r="EN211" s="14448"/>
      <c r="EO211" s="14448"/>
      <c r="EP211" s="14448"/>
      <c r="EQ211" s="14448">
        <v>6002.09</v>
      </c>
      <c r="ER211" s="14448"/>
      <c r="ES211" s="14448"/>
      <c r="ET211" s="16127">
        <v>46935</v>
      </c>
      <c r="EU211" s="15973" t="s">
        <v>66</v>
      </c>
      <c r="EV211" s="16127">
        <v>47118</v>
      </c>
      <c r="EW211" s="15973" t="s">
        <v>66</v>
      </c>
      <c r="EX211" s="2521"/>
      <c r="EY21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11" s="2199" t="e">
        <f ca="1">STRCHECKDATE(V212:EX212)</f>
        <v>#NAME?</v>
      </c>
      <c r="FA211" s="2512"/>
      <c r="FB211" s="2512" t="str">
        <f t="shared" si="3"/>
        <v/>
      </c>
      <c r="FC211" s="2512"/>
      <c r="FD211" s="2512"/>
    </row>
    <row r="212" spans="1:160" s="15214" customFormat="1" ht="14.25" customHeight="1">
      <c r="A212" s="2502"/>
      <c r="B212" s="2502"/>
      <c r="C212" s="2502"/>
      <c r="D212" s="2502"/>
      <c r="E212" s="16125"/>
      <c r="F212" s="16125" t="s">
        <v>90</v>
      </c>
      <c r="G212" s="16125"/>
      <c r="H212" s="16125"/>
      <c r="I212" s="16145"/>
      <c r="J212" s="16145"/>
      <c r="K212" s="16122"/>
      <c r="L212" s="2503"/>
      <c r="M212" s="2513"/>
      <c r="N212" s="2513"/>
      <c r="O212" s="2513"/>
      <c r="P212" s="16123"/>
      <c r="Q212" s="16123"/>
      <c r="R212" s="2517"/>
      <c r="S212" s="2522"/>
      <c r="T212" s="2510"/>
      <c r="U212" s="2510"/>
      <c r="V212" s="1894"/>
      <c r="W212" s="1894"/>
      <c r="X212" s="1894"/>
      <c r="Y212" s="1894"/>
      <c r="Z212" s="1894"/>
      <c r="AA212" s="1894"/>
      <c r="AB212" s="1894"/>
      <c r="AC212" s="16128"/>
      <c r="AD212" s="15973"/>
      <c r="AE212" s="16128"/>
      <c r="AF212" s="15973"/>
      <c r="AG212" s="1894"/>
      <c r="AH212" s="1894"/>
      <c r="AI212" s="1894"/>
      <c r="AJ212" s="1894"/>
      <c r="AK212" s="1894"/>
      <c r="AL212" s="1894"/>
      <c r="AM212" s="1894"/>
      <c r="AN212" s="16128"/>
      <c r="AO212" s="15973"/>
      <c r="AP212" s="16147"/>
      <c r="AQ212" s="15973"/>
      <c r="AR212" s="1894"/>
      <c r="AS212" s="1894"/>
      <c r="AT212" s="1894"/>
      <c r="AU212" s="1894"/>
      <c r="AV212" s="1894"/>
      <c r="AW212" s="1894"/>
      <c r="AX212" s="1894"/>
      <c r="AY212" s="16128"/>
      <c r="AZ212" s="15973"/>
      <c r="BA212" s="16128"/>
      <c r="BB212" s="15973"/>
      <c r="BC212" s="1894"/>
      <c r="BD212" s="1894"/>
      <c r="BE212" s="1894"/>
      <c r="BF212" s="1894"/>
      <c r="BG212" s="1894"/>
      <c r="BH212" s="1894"/>
      <c r="BI212" s="1894"/>
      <c r="BJ212" s="16128"/>
      <c r="BK212" s="15973"/>
      <c r="BL212" s="16128"/>
      <c r="BM212" s="15973"/>
      <c r="BN212" s="1894"/>
      <c r="BO212" s="1894"/>
      <c r="BP212" s="1894"/>
      <c r="BQ212" s="1894"/>
      <c r="BR212" s="1894"/>
      <c r="BS212" s="1894"/>
      <c r="BT212" s="1894"/>
      <c r="BU212" s="16128"/>
      <c r="BV212" s="15973"/>
      <c r="BW212" s="16128"/>
      <c r="BX212" s="15973"/>
      <c r="BY212" s="1894"/>
      <c r="BZ212" s="1894"/>
      <c r="CA212" s="1894"/>
      <c r="CB212" s="1894"/>
      <c r="CC212" s="1894"/>
      <c r="CD212" s="1894"/>
      <c r="CE212" s="1894"/>
      <c r="CF212" s="16128"/>
      <c r="CG212" s="15973"/>
      <c r="CH212" s="16128"/>
      <c r="CI212" s="15973"/>
      <c r="CJ212" s="1894"/>
      <c r="CK212" s="1894"/>
      <c r="CL212" s="1894"/>
      <c r="CM212" s="1894"/>
      <c r="CN212" s="1894"/>
      <c r="CO212" s="1894"/>
      <c r="CP212" s="1894"/>
      <c r="CQ212" s="16128"/>
      <c r="CR212" s="15973"/>
      <c r="CS212" s="16128"/>
      <c r="CT212" s="15973"/>
      <c r="CU212" s="1894"/>
      <c r="CV212" s="1894"/>
      <c r="CW212" s="1894"/>
      <c r="CX212" s="1894"/>
      <c r="CY212" s="1894"/>
      <c r="CZ212" s="1894"/>
      <c r="DA212" s="1894"/>
      <c r="DB212" s="16128"/>
      <c r="DC212" s="15973"/>
      <c r="DD212" s="16128"/>
      <c r="DE212" s="15973"/>
      <c r="DF212" s="1894"/>
      <c r="DG212" s="1894"/>
      <c r="DH212" s="1894"/>
      <c r="DI212" s="1894"/>
      <c r="DJ212" s="1894"/>
      <c r="DK212" s="1894"/>
      <c r="DL212" s="1894"/>
      <c r="DM212" s="16128"/>
      <c r="DN212" s="15973"/>
      <c r="DO212" s="16128"/>
      <c r="DP212" s="15973"/>
      <c r="DQ212" s="1894"/>
      <c r="DR212" s="1894"/>
      <c r="DS212" s="1894"/>
      <c r="DT212" s="1894"/>
      <c r="DU212" s="1894"/>
      <c r="DV212" s="1894"/>
      <c r="DW212" s="1894"/>
      <c r="DX212" s="16128"/>
      <c r="DY212" s="15973"/>
      <c r="DZ212" s="16128"/>
      <c r="EA212" s="15973"/>
      <c r="EB212" s="1894"/>
      <c r="EC212" s="1894"/>
      <c r="ED212" s="1894"/>
      <c r="EE212" s="1894"/>
      <c r="EF212" s="1894"/>
      <c r="EG212" s="1894"/>
      <c r="EH212" s="1894"/>
      <c r="EI212" s="16128"/>
      <c r="EJ212" s="15973"/>
      <c r="EK212" s="16128"/>
      <c r="EL212" s="15973"/>
      <c r="EM212" s="14449"/>
      <c r="EN212" s="14449"/>
      <c r="EO212" s="14449"/>
      <c r="EP212" s="14449"/>
      <c r="EQ212" s="14449"/>
      <c r="ER212" s="14449"/>
      <c r="ES212" s="14449"/>
      <c r="ET212" s="16128"/>
      <c r="EU212" s="15973"/>
      <c r="EV212" s="16128"/>
      <c r="EW212" s="15973"/>
      <c r="EX212" s="2523"/>
      <c r="EY212" s="16182"/>
      <c r="EZ212" s="2199"/>
      <c r="FA212" s="2512"/>
      <c r="FB212" s="2512" t="str">
        <f t="shared" si="3"/>
        <v/>
      </c>
      <c r="FC212" s="2512"/>
      <c r="FD212" s="2512"/>
    </row>
    <row r="213" spans="1:160" s="15215" customFormat="1" ht="21" customHeight="1">
      <c r="A213" s="2502"/>
      <c r="B213" s="2502"/>
      <c r="C213" s="2502"/>
      <c r="D213" s="2502"/>
      <c r="E213" s="16125"/>
      <c r="F213" s="16125" t="s">
        <v>90</v>
      </c>
      <c r="G213" s="16125"/>
      <c r="H213" s="16125"/>
      <c r="I213" s="16145"/>
      <c r="J213" s="16122"/>
      <c r="K213" s="2502"/>
      <c r="L213" s="2503"/>
      <c r="M213" s="2513"/>
      <c r="N213" s="2513"/>
      <c r="O213" s="2513"/>
      <c r="P213" s="16123"/>
      <c r="Q213" s="16123"/>
      <c r="R213" s="2515"/>
      <c r="S213" s="8570"/>
      <c r="T213" s="8571" t="s">
        <v>621</v>
      </c>
      <c r="U213" s="8572"/>
      <c r="V213" s="8573"/>
      <c r="W213" s="8574"/>
      <c r="X213" s="8575"/>
      <c r="Y213" s="8576"/>
      <c r="Z213" s="8577"/>
      <c r="AA213" s="8578"/>
      <c r="AB213" s="8579"/>
      <c r="AC213" s="8580"/>
      <c r="AD213" s="8581"/>
      <c r="AE213" s="8582"/>
      <c r="AF213" s="8583"/>
      <c r="AG213" s="8584"/>
      <c r="AH213" s="8585"/>
      <c r="AI213" s="8586"/>
      <c r="AJ213" s="8587"/>
      <c r="AK213" s="8588"/>
      <c r="AL213" s="8589"/>
      <c r="AM213" s="8590"/>
      <c r="AN213" s="8591"/>
      <c r="AO213" s="8592"/>
      <c r="AP213" s="8593"/>
      <c r="AQ213" s="8594"/>
      <c r="AR213" s="8595"/>
      <c r="AS213" s="8596"/>
      <c r="AT213" s="8597"/>
      <c r="AU213" s="8598"/>
      <c r="AV213" s="8599"/>
      <c r="AW213" s="8600"/>
      <c r="AX213" s="8601"/>
      <c r="AY213" s="8602"/>
      <c r="AZ213" s="8603"/>
      <c r="BA213" s="8604"/>
      <c r="BB213" s="8605"/>
      <c r="BC213" s="8606"/>
      <c r="BD213" s="8607"/>
      <c r="BE213" s="8608"/>
      <c r="BF213" s="8609"/>
      <c r="BG213" s="8610"/>
      <c r="BH213" s="8611"/>
      <c r="BI213" s="8612"/>
      <c r="BJ213" s="8613"/>
      <c r="BK213" s="8614"/>
      <c r="BL213" s="8615"/>
      <c r="BM213" s="8616"/>
      <c r="BN213" s="8617"/>
      <c r="BO213" s="8618"/>
      <c r="BP213" s="8619"/>
      <c r="BQ213" s="8620"/>
      <c r="BR213" s="8621"/>
      <c r="BS213" s="8622"/>
      <c r="BT213" s="8623"/>
      <c r="BU213" s="8624"/>
      <c r="BV213" s="8625"/>
      <c r="BW213" s="8626"/>
      <c r="BX213" s="8627"/>
      <c r="BY213" s="8628"/>
      <c r="BZ213" s="8629"/>
      <c r="CA213" s="8630"/>
      <c r="CB213" s="8631"/>
      <c r="CC213" s="8632"/>
      <c r="CD213" s="8633"/>
      <c r="CE213" s="8634"/>
      <c r="CF213" s="8635"/>
      <c r="CG213" s="8636"/>
      <c r="CH213" s="8637"/>
      <c r="CI213" s="8638"/>
      <c r="CJ213" s="8639"/>
      <c r="CK213" s="8640"/>
      <c r="CL213" s="8641"/>
      <c r="CM213" s="8642"/>
      <c r="CN213" s="8643"/>
      <c r="CO213" s="8644"/>
      <c r="CP213" s="8645"/>
      <c r="CQ213" s="8646"/>
      <c r="CR213" s="8647"/>
      <c r="CS213" s="8648"/>
      <c r="CT213" s="8649"/>
      <c r="CU213" s="8650"/>
      <c r="CV213" s="8651"/>
      <c r="CW213" s="8652"/>
      <c r="CX213" s="8653"/>
      <c r="CY213" s="8654"/>
      <c r="CZ213" s="8655"/>
      <c r="DA213" s="8656"/>
      <c r="DB213" s="8657"/>
      <c r="DC213" s="8658"/>
      <c r="DD213" s="8659"/>
      <c r="DE213" s="8660"/>
      <c r="DF213" s="8661"/>
      <c r="DG213" s="8662"/>
      <c r="DH213" s="8663"/>
      <c r="DI213" s="8664"/>
      <c r="DJ213" s="8665"/>
      <c r="DK213" s="8666"/>
      <c r="DL213" s="8667"/>
      <c r="DM213" s="8668"/>
      <c r="DN213" s="8669"/>
      <c r="DO213" s="8670"/>
      <c r="DP213" s="8671"/>
      <c r="DQ213" s="8672"/>
      <c r="DR213" s="8673"/>
      <c r="DS213" s="8674"/>
      <c r="DT213" s="8675"/>
      <c r="DU213" s="8676"/>
      <c r="DV213" s="8677"/>
      <c r="DW213" s="8678"/>
      <c r="DX213" s="8679"/>
      <c r="DY213" s="8680"/>
      <c r="DZ213" s="8681"/>
      <c r="EA213" s="8682"/>
      <c r="EB213" s="8683"/>
      <c r="EC213" s="8684"/>
      <c r="ED213" s="8685"/>
      <c r="EE213" s="8686"/>
      <c r="EF213" s="8687"/>
      <c r="EG213" s="8688"/>
      <c r="EH213" s="8689"/>
      <c r="EI213" s="8690"/>
      <c r="EJ213" s="8691"/>
      <c r="EK213" s="8692"/>
      <c r="EL213" s="8693"/>
      <c r="EM213" s="15216"/>
      <c r="EN213" s="15217"/>
      <c r="EO213" s="15218"/>
      <c r="EP213" s="15219"/>
      <c r="EQ213" s="15220"/>
      <c r="ER213" s="15221"/>
      <c r="ES213" s="15222"/>
      <c r="ET213" s="15223"/>
      <c r="EU213" s="15224"/>
      <c r="EV213" s="15225"/>
      <c r="EW213" s="15226"/>
      <c r="EX213" s="8694"/>
      <c r="EY213" s="2511" t="s">
        <v>622</v>
      </c>
      <c r="EZ213" s="2199"/>
      <c r="FA213" s="2512"/>
      <c r="FB213" s="2512" t="str">
        <f t="shared" si="3"/>
        <v>Добавить значение признака дифференциации</v>
      </c>
      <c r="FC213" s="2512"/>
      <c r="FD213" s="2512"/>
    </row>
    <row r="214" spans="1:160" s="15227" customFormat="1" ht="21" customHeight="1">
      <c r="A214" s="2502"/>
      <c r="B214" s="2502"/>
      <c r="C214" s="2502"/>
      <c r="D214" s="2502"/>
      <c r="E214" s="16125"/>
      <c r="F214" s="16125" t="s">
        <v>90</v>
      </c>
      <c r="G214" s="16125"/>
      <c r="H214" s="16125"/>
      <c r="I214" s="16122"/>
      <c r="J214" s="2502"/>
      <c r="K214" s="2502"/>
      <c r="L214" s="2503"/>
      <c r="M214" s="2513"/>
      <c r="N214" s="2513"/>
      <c r="O214" s="2513"/>
      <c r="P214" s="16123"/>
      <c r="Q214" s="2514"/>
      <c r="R214" s="2515"/>
      <c r="S214" s="8695"/>
      <c r="T214" s="8696" t="s">
        <v>549</v>
      </c>
      <c r="U214" s="8697"/>
      <c r="V214" s="8698"/>
      <c r="W214" s="8699"/>
      <c r="X214" s="8700"/>
      <c r="Y214" s="8701"/>
      <c r="Z214" s="8702"/>
      <c r="AA214" s="8703"/>
      <c r="AB214" s="8704"/>
      <c r="AC214" s="8705"/>
      <c r="AD214" s="8706"/>
      <c r="AE214" s="8707"/>
      <c r="AF214" s="8708"/>
      <c r="AG214" s="8709"/>
      <c r="AH214" s="8710"/>
      <c r="AI214" s="8711"/>
      <c r="AJ214" s="8712"/>
      <c r="AK214" s="8713"/>
      <c r="AL214" s="8714"/>
      <c r="AM214" s="8715"/>
      <c r="AN214" s="8716"/>
      <c r="AO214" s="8717"/>
      <c r="AP214" s="8718"/>
      <c r="AQ214" s="8719"/>
      <c r="AR214" s="8720"/>
      <c r="AS214" s="8721"/>
      <c r="AT214" s="8722"/>
      <c r="AU214" s="8723"/>
      <c r="AV214" s="8724"/>
      <c r="AW214" s="8725"/>
      <c r="AX214" s="8726"/>
      <c r="AY214" s="8727"/>
      <c r="AZ214" s="8728"/>
      <c r="BA214" s="8729"/>
      <c r="BB214" s="8730"/>
      <c r="BC214" s="8731"/>
      <c r="BD214" s="8732"/>
      <c r="BE214" s="8733"/>
      <c r="BF214" s="8734"/>
      <c r="BG214" s="8735"/>
      <c r="BH214" s="8736"/>
      <c r="BI214" s="8737"/>
      <c r="BJ214" s="8738"/>
      <c r="BK214" s="8739"/>
      <c r="BL214" s="8740"/>
      <c r="BM214" s="8741"/>
      <c r="BN214" s="8742"/>
      <c r="BO214" s="8743"/>
      <c r="BP214" s="8744"/>
      <c r="BQ214" s="8745"/>
      <c r="BR214" s="8746"/>
      <c r="BS214" s="8747"/>
      <c r="BT214" s="8748"/>
      <c r="BU214" s="8749"/>
      <c r="BV214" s="8750"/>
      <c r="BW214" s="8751"/>
      <c r="BX214" s="8752"/>
      <c r="BY214" s="8753"/>
      <c r="BZ214" s="8754"/>
      <c r="CA214" s="8755"/>
      <c r="CB214" s="8756"/>
      <c r="CC214" s="8757"/>
      <c r="CD214" s="8758"/>
      <c r="CE214" s="8759"/>
      <c r="CF214" s="8760"/>
      <c r="CG214" s="8761"/>
      <c r="CH214" s="8762"/>
      <c r="CI214" s="8763"/>
      <c r="CJ214" s="8764"/>
      <c r="CK214" s="8765"/>
      <c r="CL214" s="8766"/>
      <c r="CM214" s="8767"/>
      <c r="CN214" s="8768"/>
      <c r="CO214" s="8769"/>
      <c r="CP214" s="8770"/>
      <c r="CQ214" s="8771"/>
      <c r="CR214" s="8772"/>
      <c r="CS214" s="8773"/>
      <c r="CT214" s="8774"/>
      <c r="CU214" s="8775"/>
      <c r="CV214" s="8776"/>
      <c r="CW214" s="8777"/>
      <c r="CX214" s="8778"/>
      <c r="CY214" s="8779"/>
      <c r="CZ214" s="8780"/>
      <c r="DA214" s="8781"/>
      <c r="DB214" s="8782"/>
      <c r="DC214" s="8783"/>
      <c r="DD214" s="8784"/>
      <c r="DE214" s="8785"/>
      <c r="DF214" s="8786"/>
      <c r="DG214" s="8787"/>
      <c r="DH214" s="8788"/>
      <c r="DI214" s="8789"/>
      <c r="DJ214" s="8790"/>
      <c r="DK214" s="8791"/>
      <c r="DL214" s="8792"/>
      <c r="DM214" s="8793"/>
      <c r="DN214" s="8794"/>
      <c r="DO214" s="8795"/>
      <c r="DP214" s="8796"/>
      <c r="DQ214" s="8797"/>
      <c r="DR214" s="8798"/>
      <c r="DS214" s="8799"/>
      <c r="DT214" s="8800"/>
      <c r="DU214" s="8801"/>
      <c r="DV214" s="8802"/>
      <c r="DW214" s="8803"/>
      <c r="DX214" s="8804"/>
      <c r="DY214" s="8805"/>
      <c r="DZ214" s="8806"/>
      <c r="EA214" s="8807"/>
      <c r="EB214" s="8808"/>
      <c r="EC214" s="8809"/>
      <c r="ED214" s="8810"/>
      <c r="EE214" s="8811"/>
      <c r="EF214" s="8812"/>
      <c r="EG214" s="8813"/>
      <c r="EH214" s="8814"/>
      <c r="EI214" s="8815"/>
      <c r="EJ214" s="8816"/>
      <c r="EK214" s="8817"/>
      <c r="EL214" s="8818"/>
      <c r="EM214" s="15228"/>
      <c r="EN214" s="15229"/>
      <c r="EO214" s="15230"/>
      <c r="EP214" s="15231"/>
      <c r="EQ214" s="15232"/>
      <c r="ER214" s="15233"/>
      <c r="ES214" s="15234"/>
      <c r="ET214" s="15235"/>
      <c r="EU214" s="15236"/>
      <c r="EV214" s="15237"/>
      <c r="EW214" s="15238"/>
      <c r="EX214" s="8819"/>
      <c r="EY214" s="8820"/>
      <c r="EZ214" s="2199"/>
      <c r="FA214" s="2512"/>
      <c r="FB214" s="2512" t="str">
        <f t="shared" si="3"/>
        <v>Добавить группу потребителей</v>
      </c>
      <c r="FC214" s="2512"/>
      <c r="FD214" s="2512"/>
    </row>
    <row r="215" spans="1:160" s="15239" customFormat="1" ht="21" customHeight="1">
      <c r="A215" s="2502"/>
      <c r="B215" s="2502"/>
      <c r="C215" s="2502"/>
      <c r="D215" s="2502"/>
      <c r="E215" s="16125"/>
      <c r="F215" s="16125" t="s">
        <v>90</v>
      </c>
      <c r="G215" s="16125"/>
      <c r="H215" s="16124"/>
      <c r="I215" s="2502"/>
      <c r="J215" s="2502"/>
      <c r="K215" s="2502"/>
      <c r="L215" s="2503"/>
      <c r="M215" s="2504"/>
      <c r="N215" s="2504"/>
      <c r="O215" s="2193"/>
      <c r="P215" s="2775"/>
      <c r="Q215" s="2776"/>
      <c r="R215" s="2777"/>
      <c r="S215" s="8821"/>
      <c r="T215" s="8822" t="s">
        <v>623</v>
      </c>
      <c r="U215" s="8823"/>
      <c r="V215" s="8824"/>
      <c r="W215" s="8825"/>
      <c r="X215" s="8826"/>
      <c r="Y215" s="8827"/>
      <c r="Z215" s="8828"/>
      <c r="AA215" s="8829"/>
      <c r="AB215" s="8830"/>
      <c r="AC215" s="8831"/>
      <c r="AD215" s="8832"/>
      <c r="AE215" s="8833"/>
      <c r="AF215" s="8834"/>
      <c r="AG215" s="8835"/>
      <c r="AH215" s="8836"/>
      <c r="AI215" s="8837"/>
      <c r="AJ215" s="8838"/>
      <c r="AK215" s="8839"/>
      <c r="AL215" s="8840"/>
      <c r="AM215" s="8841"/>
      <c r="AN215" s="8842"/>
      <c r="AO215" s="8843"/>
      <c r="AP215" s="8844"/>
      <c r="AQ215" s="8845"/>
      <c r="AR215" s="8846"/>
      <c r="AS215" s="8847"/>
      <c r="AT215" s="8848"/>
      <c r="AU215" s="8849"/>
      <c r="AV215" s="8850"/>
      <c r="AW215" s="8851"/>
      <c r="AX215" s="8852"/>
      <c r="AY215" s="8853"/>
      <c r="AZ215" s="8854"/>
      <c r="BA215" s="8855"/>
      <c r="BB215" s="8856"/>
      <c r="BC215" s="8857"/>
      <c r="BD215" s="8858"/>
      <c r="BE215" s="8859"/>
      <c r="BF215" s="8860"/>
      <c r="BG215" s="8861"/>
      <c r="BH215" s="8862"/>
      <c r="BI215" s="8863"/>
      <c r="BJ215" s="8864"/>
      <c r="BK215" s="8865"/>
      <c r="BL215" s="8866"/>
      <c r="BM215" s="8867"/>
      <c r="BN215" s="8868"/>
      <c r="BO215" s="8869"/>
      <c r="BP215" s="8870"/>
      <c r="BQ215" s="8871"/>
      <c r="BR215" s="8872"/>
      <c r="BS215" s="8873"/>
      <c r="BT215" s="8874"/>
      <c r="BU215" s="8875"/>
      <c r="BV215" s="8876"/>
      <c r="BW215" s="8877"/>
      <c r="BX215" s="8878"/>
      <c r="BY215" s="8879"/>
      <c r="BZ215" s="8880"/>
      <c r="CA215" s="8881"/>
      <c r="CB215" s="8882"/>
      <c r="CC215" s="8883"/>
      <c r="CD215" s="8884"/>
      <c r="CE215" s="8885"/>
      <c r="CF215" s="8886"/>
      <c r="CG215" s="8887"/>
      <c r="CH215" s="8888"/>
      <c r="CI215" s="8889"/>
      <c r="CJ215" s="8890"/>
      <c r="CK215" s="8891"/>
      <c r="CL215" s="8892"/>
      <c r="CM215" s="8893"/>
      <c r="CN215" s="8894"/>
      <c r="CO215" s="8895"/>
      <c r="CP215" s="8896"/>
      <c r="CQ215" s="8897"/>
      <c r="CR215" s="8898"/>
      <c r="CS215" s="8899"/>
      <c r="CT215" s="8900"/>
      <c r="CU215" s="8901"/>
      <c r="CV215" s="8902"/>
      <c r="CW215" s="8903"/>
      <c r="CX215" s="8904"/>
      <c r="CY215" s="8905"/>
      <c r="CZ215" s="8906"/>
      <c r="DA215" s="8907"/>
      <c r="DB215" s="8908"/>
      <c r="DC215" s="8909"/>
      <c r="DD215" s="8910"/>
      <c r="DE215" s="8911"/>
      <c r="DF215" s="8912"/>
      <c r="DG215" s="8913"/>
      <c r="DH215" s="8914"/>
      <c r="DI215" s="8915"/>
      <c r="DJ215" s="8916"/>
      <c r="DK215" s="8917"/>
      <c r="DL215" s="8918"/>
      <c r="DM215" s="8919"/>
      <c r="DN215" s="8920"/>
      <c r="DO215" s="8921"/>
      <c r="DP215" s="8922"/>
      <c r="DQ215" s="8923"/>
      <c r="DR215" s="8924"/>
      <c r="DS215" s="8925"/>
      <c r="DT215" s="8926"/>
      <c r="DU215" s="8927"/>
      <c r="DV215" s="8928"/>
      <c r="DW215" s="8929"/>
      <c r="DX215" s="8930"/>
      <c r="DY215" s="8931"/>
      <c r="DZ215" s="8932"/>
      <c r="EA215" s="8933"/>
      <c r="EB215" s="8934"/>
      <c r="EC215" s="8935"/>
      <c r="ED215" s="8936"/>
      <c r="EE215" s="8937"/>
      <c r="EF215" s="8938"/>
      <c r="EG215" s="8939"/>
      <c r="EH215" s="8940"/>
      <c r="EI215" s="8941"/>
      <c r="EJ215" s="8942"/>
      <c r="EK215" s="8943"/>
      <c r="EL215" s="8944"/>
      <c r="EM215" s="15240"/>
      <c r="EN215" s="15241"/>
      <c r="EO215" s="15242"/>
      <c r="EP215" s="15243"/>
      <c r="EQ215" s="15244"/>
      <c r="ER215" s="15245"/>
      <c r="ES215" s="15246"/>
      <c r="ET215" s="15247"/>
      <c r="EU215" s="15248"/>
      <c r="EV215" s="15249"/>
      <c r="EW215" s="15250"/>
      <c r="EX215" s="8945"/>
      <c r="EY215" s="8946"/>
      <c r="EZ215" s="2199"/>
      <c r="FA215" s="2512"/>
      <c r="FB215" s="2512" t="str">
        <f t="shared" si="3"/>
        <v>Добавить наименование признака дифференциации</v>
      </c>
      <c r="FC215" s="2512"/>
      <c r="FD215" s="2512"/>
    </row>
    <row r="216" spans="1:160" s="15251" customFormat="1" ht="14.25" customHeight="1">
      <c r="A216" s="3283"/>
      <c r="B216" s="3283"/>
      <c r="C216" s="3283"/>
      <c r="D216" s="3283"/>
      <c r="E216" s="16125"/>
      <c r="F216" s="16124" t="s">
        <v>90</v>
      </c>
      <c r="G216" s="3283"/>
      <c r="H216" s="3283"/>
      <c r="I216" s="3283"/>
      <c r="J216" s="3283"/>
      <c r="K216" s="3283"/>
      <c r="L216" s="3284"/>
      <c r="M216" s="3285"/>
      <c r="N216" s="3285"/>
      <c r="O216" s="2199"/>
      <c r="P216" s="3286"/>
      <c r="Q216" s="3287"/>
      <c r="R216" s="3286"/>
      <c r="S216" s="3288"/>
      <c r="T216" s="3289" t="s">
        <v>290</v>
      </c>
      <c r="U216" s="2192"/>
      <c r="V216" s="2192"/>
      <c r="W216" s="2192"/>
      <c r="X216" s="2192"/>
      <c r="Y216" s="2192"/>
      <c r="Z216" s="2192"/>
      <c r="AA216" s="2192"/>
      <c r="AB216" s="2192"/>
      <c r="AC216" s="2192"/>
      <c r="AD216" s="2192"/>
      <c r="AE216" s="2192"/>
      <c r="AF216" s="2192"/>
      <c r="AG216" s="2192"/>
      <c r="AH216" s="2192"/>
      <c r="AI216" s="2192"/>
      <c r="AJ216" s="2192"/>
      <c r="AK216" s="2192"/>
      <c r="AL216" s="2192"/>
      <c r="AM216" s="2192"/>
      <c r="AN216" s="2192"/>
      <c r="AO216" s="2192"/>
      <c r="AP216" s="2192"/>
      <c r="AQ216" s="2192"/>
      <c r="AR216" s="2192"/>
      <c r="AS216" s="2192"/>
      <c r="AT216" s="2192"/>
      <c r="AU216" s="2192"/>
      <c r="AV216" s="2192"/>
      <c r="AW216" s="2192"/>
      <c r="AX216" s="2192"/>
      <c r="AY216" s="2192"/>
      <c r="AZ216" s="2192"/>
      <c r="BA216" s="2192"/>
      <c r="BB216" s="2192"/>
      <c r="BC216" s="2192"/>
      <c r="BD216" s="2192"/>
      <c r="BE216" s="2192"/>
      <c r="BF216" s="2192"/>
      <c r="BG216" s="2192"/>
      <c r="BH216" s="2192"/>
      <c r="BI216" s="2192"/>
      <c r="BJ216" s="2192"/>
      <c r="BK216" s="2192"/>
      <c r="BL216" s="2192"/>
      <c r="BM216" s="2192"/>
      <c r="BN216" s="2192"/>
      <c r="BO216" s="2192"/>
      <c r="BP216" s="2192"/>
      <c r="BQ216" s="2192"/>
      <c r="BR216" s="2192"/>
      <c r="BS216" s="2192"/>
      <c r="BT216" s="2192"/>
      <c r="BU216" s="2192"/>
      <c r="BV216" s="2192"/>
      <c r="BW216" s="2192"/>
      <c r="BX216" s="2192"/>
      <c r="BY216" s="2192"/>
      <c r="BZ216" s="2192"/>
      <c r="CA216" s="2192"/>
      <c r="CB216" s="2192"/>
      <c r="CC216" s="2192"/>
      <c r="CD216" s="2192"/>
      <c r="CE216" s="2192"/>
      <c r="CF216" s="2192"/>
      <c r="CG216" s="2192"/>
      <c r="CH216" s="2192"/>
      <c r="CI216" s="2192"/>
      <c r="CJ216" s="2192"/>
      <c r="CK216" s="2192"/>
      <c r="CL216" s="2192"/>
      <c r="CM216" s="2192"/>
      <c r="CN216" s="2192"/>
      <c r="CO216" s="2192"/>
      <c r="CP216" s="2192"/>
      <c r="CQ216" s="2192"/>
      <c r="CR216" s="2192"/>
      <c r="CS216" s="2192"/>
      <c r="CT216" s="2192"/>
      <c r="CU216" s="2192"/>
      <c r="CV216" s="2192"/>
      <c r="CW216" s="2192"/>
      <c r="CX216" s="2192"/>
      <c r="CY216" s="2192"/>
      <c r="CZ216" s="2192"/>
      <c r="DA216" s="2192"/>
      <c r="DB216" s="2192"/>
      <c r="DC216" s="2192"/>
      <c r="DD216" s="2192"/>
      <c r="DE216" s="2192"/>
      <c r="DF216" s="2192"/>
      <c r="DG216" s="2192"/>
      <c r="DH216" s="2192"/>
      <c r="DI216" s="2192"/>
      <c r="DJ216" s="2192"/>
      <c r="DK216" s="2192"/>
      <c r="DL216" s="2192"/>
      <c r="DM216" s="2192"/>
      <c r="DN216" s="2192"/>
      <c r="DO216" s="2192"/>
      <c r="DP216" s="2192"/>
      <c r="DQ216" s="2192"/>
      <c r="DR216" s="2192"/>
      <c r="DS216" s="2192"/>
      <c r="DT216" s="2192"/>
      <c r="DU216" s="2192"/>
      <c r="DV216" s="2192"/>
      <c r="DW216" s="2192"/>
      <c r="DX216" s="2192"/>
      <c r="DY216" s="2192"/>
      <c r="DZ216" s="2192"/>
      <c r="EA216" s="2192"/>
      <c r="EB216" s="2192"/>
      <c r="EC216" s="2192"/>
      <c r="ED216" s="2192"/>
      <c r="EE216" s="2192"/>
      <c r="EF216" s="2192"/>
      <c r="EG216" s="2192"/>
      <c r="EH216" s="2192"/>
      <c r="EI216" s="2192"/>
      <c r="EJ216" s="2192"/>
      <c r="EK216" s="2192"/>
      <c r="EL216" s="2192"/>
      <c r="EM216" s="14483"/>
      <c r="EN216" s="14483"/>
      <c r="EO216" s="14483"/>
      <c r="EP216" s="14483"/>
      <c r="EQ216" s="14483"/>
      <c r="ER216" s="14483"/>
      <c r="ES216" s="14483"/>
      <c r="ET216" s="14483"/>
      <c r="EU216" s="14483"/>
      <c r="EV216" s="14483"/>
      <c r="EW216" s="14483"/>
      <c r="EX216" s="2192"/>
      <c r="EY216" s="2192"/>
      <c r="EZ216" s="2199"/>
      <c r="FA216" s="2512"/>
      <c r="FB216" s="2512" t="str">
        <f t="shared" si="3"/>
        <v>Добавить централизованную систему для дифференциации</v>
      </c>
      <c r="FC216" s="2512"/>
      <c r="FD216" s="2512"/>
    </row>
    <row r="217" spans="1:160" s="15252" customFormat="1" ht="23.25" customHeight="1">
      <c r="A217" s="2502"/>
      <c r="B217" s="2502" t="s">
        <v>347</v>
      </c>
      <c r="C217" s="2502"/>
      <c r="D217" s="2502"/>
      <c r="E217" s="16125"/>
      <c r="F217" s="16124" t="s">
        <v>91</v>
      </c>
      <c r="G217" s="2502"/>
      <c r="H217" s="2502"/>
      <c r="I217" s="2502"/>
      <c r="J217" s="2502"/>
      <c r="K217" s="2502"/>
      <c r="L217" s="2503"/>
      <c r="M217" s="2504"/>
      <c r="N217" s="2504"/>
      <c r="O217" s="2504"/>
      <c r="P217" s="2904"/>
      <c r="Q217" s="2506"/>
      <c r="R217" s="2507"/>
      <c r="S217" s="2508" t="str">
        <f>INDEX(PT_DIFFERENTIATION_NUM_TER,MATCH(B217,PT_DIFFERENTIATION_TER_ID,0))</f>
        <v>2.6</v>
      </c>
      <c r="T217" s="2905" t="s">
        <v>534</v>
      </c>
      <c r="U217" s="2510"/>
      <c r="V217" s="16110"/>
      <c r="W217" s="16111"/>
      <c r="X217" s="16111"/>
      <c r="Y217" s="16111"/>
      <c r="Z217" s="16111"/>
      <c r="AA217" s="16111"/>
      <c r="AB217" s="16111"/>
      <c r="AC217" s="16111"/>
      <c r="AD217" s="16111"/>
      <c r="AE217" s="16111"/>
      <c r="AF217" s="16112"/>
      <c r="AG217" s="16110" t="str">
        <f>INDEX(PT_DIFFERENTIATION_TER,MATCH(B217,PT_DIFFERENTIATION_TER_ID,0))</f>
        <v>Территория 6</v>
      </c>
      <c r="AH217" s="16111"/>
      <c r="AI217" s="16111"/>
      <c r="AJ217" s="16111"/>
      <c r="AK217" s="16111"/>
      <c r="AL217" s="16111"/>
      <c r="AM217" s="16111"/>
      <c r="AN217" s="16111"/>
      <c r="AO217" s="16111"/>
      <c r="AP217" s="16111"/>
      <c r="AQ217" s="16111"/>
      <c r="AR217" s="16110"/>
      <c r="AS217" s="16111"/>
      <c r="AT217" s="16111"/>
      <c r="AU217" s="16111"/>
      <c r="AV217" s="16111"/>
      <c r="AW217" s="16111"/>
      <c r="AX217" s="16111"/>
      <c r="AY217" s="16111"/>
      <c r="AZ217" s="16111"/>
      <c r="BA217" s="16111"/>
      <c r="BB217" s="16112"/>
      <c r="BC217" s="16110"/>
      <c r="BD217" s="16111"/>
      <c r="BE217" s="16111"/>
      <c r="BF217" s="16111"/>
      <c r="BG217" s="16111"/>
      <c r="BH217" s="16111"/>
      <c r="BI217" s="16111"/>
      <c r="BJ217" s="16111"/>
      <c r="BK217" s="16111"/>
      <c r="BL217" s="16111"/>
      <c r="BM217" s="16112"/>
      <c r="BN217" s="16110"/>
      <c r="BO217" s="16111"/>
      <c r="BP217" s="16111"/>
      <c r="BQ217" s="16111"/>
      <c r="BR217" s="16111"/>
      <c r="BS217" s="16111"/>
      <c r="BT217" s="16111"/>
      <c r="BU217" s="16111"/>
      <c r="BV217" s="16111"/>
      <c r="BW217" s="16111"/>
      <c r="BX217" s="16112"/>
      <c r="BY217" s="16110"/>
      <c r="BZ217" s="16111"/>
      <c r="CA217" s="16111"/>
      <c r="CB217" s="16111"/>
      <c r="CC217" s="16111"/>
      <c r="CD217" s="16111"/>
      <c r="CE217" s="16111"/>
      <c r="CF217" s="16111"/>
      <c r="CG217" s="16111"/>
      <c r="CH217" s="16111"/>
      <c r="CI217" s="16112"/>
      <c r="CJ217" s="16110"/>
      <c r="CK217" s="16111"/>
      <c r="CL217" s="16111"/>
      <c r="CM217" s="16111"/>
      <c r="CN217" s="16111"/>
      <c r="CO217" s="16111"/>
      <c r="CP217" s="16111"/>
      <c r="CQ217" s="16111"/>
      <c r="CR217" s="16111"/>
      <c r="CS217" s="16111"/>
      <c r="CT217" s="16112"/>
      <c r="CU217" s="16110"/>
      <c r="CV217" s="16111"/>
      <c r="CW217" s="16111"/>
      <c r="CX217" s="16111"/>
      <c r="CY217" s="16111"/>
      <c r="CZ217" s="16111"/>
      <c r="DA217" s="16111"/>
      <c r="DB217" s="16111"/>
      <c r="DC217" s="16111"/>
      <c r="DD217" s="16111"/>
      <c r="DE217" s="16112"/>
      <c r="DF217" s="16110"/>
      <c r="DG217" s="16111"/>
      <c r="DH217" s="16111"/>
      <c r="DI217" s="16111"/>
      <c r="DJ217" s="16111"/>
      <c r="DK217" s="16111"/>
      <c r="DL217" s="16111"/>
      <c r="DM217" s="16111"/>
      <c r="DN217" s="16111"/>
      <c r="DO217" s="16111"/>
      <c r="DP217" s="16112"/>
      <c r="DQ217" s="16110"/>
      <c r="DR217" s="16111"/>
      <c r="DS217" s="16111"/>
      <c r="DT217" s="16111"/>
      <c r="DU217" s="16111"/>
      <c r="DV217" s="16111"/>
      <c r="DW217" s="16111"/>
      <c r="DX217" s="16111"/>
      <c r="DY217" s="16111"/>
      <c r="DZ217" s="16111"/>
      <c r="EA217" s="16112"/>
      <c r="EB217" s="16110"/>
      <c r="EC217" s="16111"/>
      <c r="ED217" s="16111"/>
      <c r="EE217" s="16111"/>
      <c r="EF217" s="16111"/>
      <c r="EG217" s="16111"/>
      <c r="EH217" s="16111"/>
      <c r="EI217" s="16111"/>
      <c r="EJ217" s="16111"/>
      <c r="EK217" s="16111"/>
      <c r="EL217" s="16112"/>
      <c r="EM217" s="16110"/>
      <c r="EN217" s="16111"/>
      <c r="EO217" s="16111"/>
      <c r="EP217" s="16111"/>
      <c r="EQ217" s="16111"/>
      <c r="ER217" s="16111"/>
      <c r="ES217" s="16111"/>
      <c r="ET217" s="16111"/>
      <c r="EU217" s="16111"/>
      <c r="EV217" s="16111"/>
      <c r="EW217" s="16112"/>
      <c r="EX217" s="16112"/>
      <c r="EY217" s="2511" t="s">
        <v>535</v>
      </c>
      <c r="EZ217" s="2199"/>
      <c r="FA217" s="2512"/>
      <c r="FB217" s="2512" t="str">
        <f t="shared" si="3"/>
        <v>Территория действия тарифа</v>
      </c>
      <c r="FC217" s="2512"/>
      <c r="FD217" s="2512"/>
    </row>
    <row r="218" spans="1:160" s="15253" customFormat="1" ht="23.25" customHeight="1">
      <c r="A218" s="2502"/>
      <c r="B218" s="2502"/>
      <c r="C218" s="2502" t="s">
        <v>348</v>
      </c>
      <c r="D218" s="2502"/>
      <c r="E218" s="16125"/>
      <c r="F218" s="16125" t="s">
        <v>117</v>
      </c>
      <c r="G218" s="16124">
        <v>1</v>
      </c>
      <c r="H218" s="2502"/>
      <c r="I218" s="2502"/>
      <c r="J218" s="2502"/>
      <c r="K218" s="2502"/>
      <c r="L218" s="2503"/>
      <c r="M218" s="2504"/>
      <c r="N218" s="2504"/>
      <c r="O218" s="2504"/>
      <c r="P218" s="2505"/>
      <c r="Q218" s="2506"/>
      <c r="R218" s="2507"/>
      <c r="S218" s="2508" t="str">
        <f>INDEX(PT_DIFFERENTIATION_NUM_CS,MATCH(C218,PT_DIFFERENTIATION_CS_ID,0))</f>
        <v>2.6.1</v>
      </c>
      <c r="T218" s="2509" t="s">
        <v>665</v>
      </c>
      <c r="U218" s="2510"/>
      <c r="V218" s="16110"/>
      <c r="W218" s="16111"/>
      <c r="X218" s="16111"/>
      <c r="Y218" s="16111"/>
      <c r="Z218" s="16111"/>
      <c r="AA218" s="16111"/>
      <c r="AB218" s="16111"/>
      <c r="AC218" s="16111"/>
      <c r="AD218" s="16111"/>
      <c r="AE218" s="16111"/>
      <c r="AF218" s="16112"/>
      <c r="AG218" s="16110" t="str">
        <f>INDEX(PT_DIFFERENTIATION_CS,MATCH(C218,PT_DIFFERENTIATION_CS_ID,0))</f>
        <v>н.п. Высокий</v>
      </c>
      <c r="AH218" s="16111"/>
      <c r="AI218" s="16111"/>
      <c r="AJ218" s="16111"/>
      <c r="AK218" s="16111"/>
      <c r="AL218" s="16111"/>
      <c r="AM218" s="16111"/>
      <c r="AN218" s="16111"/>
      <c r="AO218" s="16111"/>
      <c r="AP218" s="16111"/>
      <c r="AQ218" s="16111"/>
      <c r="AR218" s="16110"/>
      <c r="AS218" s="16111"/>
      <c r="AT218" s="16111"/>
      <c r="AU218" s="16111"/>
      <c r="AV218" s="16111"/>
      <c r="AW218" s="16111"/>
      <c r="AX218" s="16111"/>
      <c r="AY218" s="16111"/>
      <c r="AZ218" s="16111"/>
      <c r="BA218" s="16111"/>
      <c r="BB218" s="16112"/>
      <c r="BC218" s="16110"/>
      <c r="BD218" s="16111"/>
      <c r="BE218" s="16111"/>
      <c r="BF218" s="16111"/>
      <c r="BG218" s="16111"/>
      <c r="BH218" s="16111"/>
      <c r="BI218" s="16111"/>
      <c r="BJ218" s="16111"/>
      <c r="BK218" s="16111"/>
      <c r="BL218" s="16111"/>
      <c r="BM218" s="16112"/>
      <c r="BN218" s="16110"/>
      <c r="BO218" s="16111"/>
      <c r="BP218" s="16111"/>
      <c r="BQ218" s="16111"/>
      <c r="BR218" s="16111"/>
      <c r="BS218" s="16111"/>
      <c r="BT218" s="16111"/>
      <c r="BU218" s="16111"/>
      <c r="BV218" s="16111"/>
      <c r="BW218" s="16111"/>
      <c r="BX218" s="16112"/>
      <c r="BY218" s="16110"/>
      <c r="BZ218" s="16111"/>
      <c r="CA218" s="16111"/>
      <c r="CB218" s="16111"/>
      <c r="CC218" s="16111"/>
      <c r="CD218" s="16111"/>
      <c r="CE218" s="16111"/>
      <c r="CF218" s="16111"/>
      <c r="CG218" s="16111"/>
      <c r="CH218" s="16111"/>
      <c r="CI218" s="16112"/>
      <c r="CJ218" s="16110"/>
      <c r="CK218" s="16111"/>
      <c r="CL218" s="16111"/>
      <c r="CM218" s="16111"/>
      <c r="CN218" s="16111"/>
      <c r="CO218" s="16111"/>
      <c r="CP218" s="16111"/>
      <c r="CQ218" s="16111"/>
      <c r="CR218" s="16111"/>
      <c r="CS218" s="16111"/>
      <c r="CT218" s="16112"/>
      <c r="CU218" s="16110"/>
      <c r="CV218" s="16111"/>
      <c r="CW218" s="16111"/>
      <c r="CX218" s="16111"/>
      <c r="CY218" s="16111"/>
      <c r="CZ218" s="16111"/>
      <c r="DA218" s="16111"/>
      <c r="DB218" s="16111"/>
      <c r="DC218" s="16111"/>
      <c r="DD218" s="16111"/>
      <c r="DE218" s="16112"/>
      <c r="DF218" s="16110"/>
      <c r="DG218" s="16111"/>
      <c r="DH218" s="16111"/>
      <c r="DI218" s="16111"/>
      <c r="DJ218" s="16111"/>
      <c r="DK218" s="16111"/>
      <c r="DL218" s="16111"/>
      <c r="DM218" s="16111"/>
      <c r="DN218" s="16111"/>
      <c r="DO218" s="16111"/>
      <c r="DP218" s="16112"/>
      <c r="DQ218" s="16110"/>
      <c r="DR218" s="16111"/>
      <c r="DS218" s="16111"/>
      <c r="DT218" s="16111"/>
      <c r="DU218" s="16111"/>
      <c r="DV218" s="16111"/>
      <c r="DW218" s="16111"/>
      <c r="DX218" s="16111"/>
      <c r="DY218" s="16111"/>
      <c r="DZ218" s="16111"/>
      <c r="EA218" s="16112"/>
      <c r="EB218" s="16110"/>
      <c r="EC218" s="16111"/>
      <c r="ED218" s="16111"/>
      <c r="EE218" s="16111"/>
      <c r="EF218" s="16111"/>
      <c r="EG218" s="16111"/>
      <c r="EH218" s="16111"/>
      <c r="EI218" s="16111"/>
      <c r="EJ218" s="16111"/>
      <c r="EK218" s="16111"/>
      <c r="EL218" s="16112"/>
      <c r="EM218" s="16110"/>
      <c r="EN218" s="16111"/>
      <c r="EO218" s="16111"/>
      <c r="EP218" s="16111"/>
      <c r="EQ218" s="16111"/>
      <c r="ER218" s="16111"/>
      <c r="ES218" s="16111"/>
      <c r="ET218" s="16111"/>
      <c r="EU218" s="16111"/>
      <c r="EV218" s="16111"/>
      <c r="EW218" s="16112"/>
      <c r="EX218" s="16112"/>
      <c r="EY218" s="2511" t="s">
        <v>666</v>
      </c>
      <c r="EZ218" s="2199"/>
      <c r="FA218" s="2512"/>
      <c r="FB218" s="2512" t="str">
        <f t="shared" si="3"/>
        <v>Наименование централизованной системы горячего водоснабжения</v>
      </c>
      <c r="FC218" s="2512"/>
      <c r="FD218" s="2512"/>
    </row>
    <row r="219" spans="1:160" s="15254" customFormat="1" ht="23.25" customHeight="1">
      <c r="A219" s="2502"/>
      <c r="B219" s="2502"/>
      <c r="C219" s="2502"/>
      <c r="D219" s="2502"/>
      <c r="E219" s="16125"/>
      <c r="F219" s="16125" t="s">
        <v>117</v>
      </c>
      <c r="G219" s="16125"/>
      <c r="H219" s="16125"/>
      <c r="I219" s="16122" t="str">
        <f>S218&amp;".1"</f>
        <v>2.6.1.1</v>
      </c>
      <c r="J219" s="2502"/>
      <c r="K219" s="2502"/>
      <c r="L219" s="2503"/>
      <c r="M219" s="2513"/>
      <c r="N219" s="2513"/>
      <c r="O219" s="2513"/>
      <c r="P219" s="16123">
        <v>1</v>
      </c>
      <c r="Q219" s="2514"/>
      <c r="R219" s="2515"/>
      <c r="S219" s="2508" t="str">
        <f>$I219</f>
        <v>2.6.1.1</v>
      </c>
      <c r="T219" s="2516" t="s">
        <v>618</v>
      </c>
      <c r="U219" s="2510"/>
      <c r="V219" s="16183"/>
      <c r="W219" s="16184"/>
      <c r="X219" s="16184"/>
      <c r="Y219" s="16184"/>
      <c r="Z219" s="16184"/>
      <c r="AA219" s="16184"/>
      <c r="AB219" s="16184"/>
      <c r="AC219" s="16184"/>
      <c r="AD219" s="16184"/>
      <c r="AE219" s="16184"/>
      <c r="AF219" s="16185"/>
      <c r="AG219" s="16186"/>
      <c r="AH219" s="16187"/>
      <c r="AI219" s="16187"/>
      <c r="AJ219" s="16187"/>
      <c r="AK219" s="16187"/>
      <c r="AL219" s="16187"/>
      <c r="AM219" s="16187"/>
      <c r="AN219" s="16187"/>
      <c r="AO219" s="16187"/>
      <c r="AP219" s="16187"/>
      <c r="AQ219" s="16187"/>
      <c r="AR219" s="16183"/>
      <c r="AS219" s="16184"/>
      <c r="AT219" s="16184"/>
      <c r="AU219" s="16184"/>
      <c r="AV219" s="16184"/>
      <c r="AW219" s="16184"/>
      <c r="AX219" s="16184"/>
      <c r="AY219" s="16184"/>
      <c r="AZ219" s="16184"/>
      <c r="BA219" s="16184"/>
      <c r="BB219" s="16185"/>
      <c r="BC219" s="16183"/>
      <c r="BD219" s="16184"/>
      <c r="BE219" s="16184"/>
      <c r="BF219" s="16184"/>
      <c r="BG219" s="16184"/>
      <c r="BH219" s="16184"/>
      <c r="BI219" s="16184"/>
      <c r="BJ219" s="16184"/>
      <c r="BK219" s="16184"/>
      <c r="BL219" s="16184"/>
      <c r="BM219" s="16185"/>
      <c r="BN219" s="16183"/>
      <c r="BO219" s="16184"/>
      <c r="BP219" s="16184"/>
      <c r="BQ219" s="16184"/>
      <c r="BR219" s="16184"/>
      <c r="BS219" s="16184"/>
      <c r="BT219" s="16184"/>
      <c r="BU219" s="16184"/>
      <c r="BV219" s="16184"/>
      <c r="BW219" s="16184"/>
      <c r="BX219" s="16185"/>
      <c r="BY219" s="16183"/>
      <c r="BZ219" s="16184"/>
      <c r="CA219" s="16184"/>
      <c r="CB219" s="16184"/>
      <c r="CC219" s="16184"/>
      <c r="CD219" s="16184"/>
      <c r="CE219" s="16184"/>
      <c r="CF219" s="16184"/>
      <c r="CG219" s="16184"/>
      <c r="CH219" s="16184"/>
      <c r="CI219" s="16185"/>
      <c r="CJ219" s="16183"/>
      <c r="CK219" s="16184"/>
      <c r="CL219" s="16184"/>
      <c r="CM219" s="16184"/>
      <c r="CN219" s="16184"/>
      <c r="CO219" s="16184"/>
      <c r="CP219" s="16184"/>
      <c r="CQ219" s="16184"/>
      <c r="CR219" s="16184"/>
      <c r="CS219" s="16184"/>
      <c r="CT219" s="16185"/>
      <c r="CU219" s="16183"/>
      <c r="CV219" s="16184"/>
      <c r="CW219" s="16184"/>
      <c r="CX219" s="16184"/>
      <c r="CY219" s="16184"/>
      <c r="CZ219" s="16184"/>
      <c r="DA219" s="16184"/>
      <c r="DB219" s="16184"/>
      <c r="DC219" s="16184"/>
      <c r="DD219" s="16184"/>
      <c r="DE219" s="16185"/>
      <c r="DF219" s="16183"/>
      <c r="DG219" s="16184"/>
      <c r="DH219" s="16184"/>
      <c r="DI219" s="16184"/>
      <c r="DJ219" s="16184"/>
      <c r="DK219" s="16184"/>
      <c r="DL219" s="16184"/>
      <c r="DM219" s="16184"/>
      <c r="DN219" s="16184"/>
      <c r="DO219" s="16184"/>
      <c r="DP219" s="16185"/>
      <c r="DQ219" s="16183"/>
      <c r="DR219" s="16184"/>
      <c r="DS219" s="16184"/>
      <c r="DT219" s="16184"/>
      <c r="DU219" s="16184"/>
      <c r="DV219" s="16184"/>
      <c r="DW219" s="16184"/>
      <c r="DX219" s="16184"/>
      <c r="DY219" s="16184"/>
      <c r="DZ219" s="16184"/>
      <c r="EA219" s="16185"/>
      <c r="EB219" s="16183"/>
      <c r="EC219" s="16184"/>
      <c r="ED219" s="16184"/>
      <c r="EE219" s="16184"/>
      <c r="EF219" s="16184"/>
      <c r="EG219" s="16184"/>
      <c r="EH219" s="16184"/>
      <c r="EI219" s="16184"/>
      <c r="EJ219" s="16184"/>
      <c r="EK219" s="16184"/>
      <c r="EL219" s="16185"/>
      <c r="EM219" s="16183"/>
      <c r="EN219" s="16184"/>
      <c r="EO219" s="16184"/>
      <c r="EP219" s="16184"/>
      <c r="EQ219" s="16184"/>
      <c r="ER219" s="16184"/>
      <c r="ES219" s="16184"/>
      <c r="ET219" s="16184"/>
      <c r="EU219" s="16184"/>
      <c r="EV219" s="16184"/>
      <c r="EW219" s="16185"/>
      <c r="EX219" s="16188"/>
      <c r="EY219" s="2511" t="s">
        <v>619</v>
      </c>
      <c r="EZ219" s="2199"/>
      <c r="FA219" s="2512"/>
      <c r="FB219" s="2512" t="str">
        <f t="shared" si="3"/>
        <v>Наименование признака дифференциации</v>
      </c>
      <c r="FC219" s="2512"/>
      <c r="FD219" s="2512"/>
    </row>
    <row r="220" spans="1:160" s="15255" customFormat="1" ht="23.25" customHeight="1">
      <c r="A220" s="2502"/>
      <c r="B220" s="2502"/>
      <c r="C220" s="2502"/>
      <c r="D220" s="2502"/>
      <c r="E220" s="16125"/>
      <c r="F220" s="16125" t="s">
        <v>117</v>
      </c>
      <c r="G220" s="16125"/>
      <c r="H220" s="16125"/>
      <c r="I220" s="16145"/>
      <c r="J220" s="16122" t="str">
        <f>I219&amp;".1"</f>
        <v>2.6.1.1.1</v>
      </c>
      <c r="K220" s="2502"/>
      <c r="L220" s="2503" t="s">
        <v>543</v>
      </c>
      <c r="M220" s="2513"/>
      <c r="N220" s="2513"/>
      <c r="O220" s="2513"/>
      <c r="P220" s="16123"/>
      <c r="Q220" s="16123">
        <v>1</v>
      </c>
      <c r="R220" s="2517"/>
      <c r="S220" s="2508" t="str">
        <f>$J220</f>
        <v>2.6.1.1.1</v>
      </c>
      <c r="T220" s="2518" t="s">
        <v>544</v>
      </c>
      <c r="U220" s="2510"/>
      <c r="V220" s="16113"/>
      <c r="W220" s="16114"/>
      <c r="X220" s="16114"/>
      <c r="Y220" s="16114"/>
      <c r="Z220" s="16114"/>
      <c r="AA220" s="16114"/>
      <c r="AB220" s="16114"/>
      <c r="AC220" s="16114"/>
      <c r="AD220" s="16114"/>
      <c r="AE220" s="16114"/>
      <c r="AF220" s="16115"/>
      <c r="AG220" s="16113" t="s">
        <v>679</v>
      </c>
      <c r="AH220" s="16114"/>
      <c r="AI220" s="16114"/>
      <c r="AJ220" s="16114"/>
      <c r="AK220" s="16114"/>
      <c r="AL220" s="16114"/>
      <c r="AM220" s="16114"/>
      <c r="AN220" s="16114"/>
      <c r="AO220" s="16114"/>
      <c r="AP220" s="16114"/>
      <c r="AQ220" s="16114"/>
      <c r="AR220" s="16113"/>
      <c r="AS220" s="16114"/>
      <c r="AT220" s="16114"/>
      <c r="AU220" s="16114"/>
      <c r="AV220" s="16114"/>
      <c r="AW220" s="16114"/>
      <c r="AX220" s="16114"/>
      <c r="AY220" s="16114"/>
      <c r="AZ220" s="16114"/>
      <c r="BA220" s="16114"/>
      <c r="BB220" s="16115"/>
      <c r="BC220" s="16113"/>
      <c r="BD220" s="16114"/>
      <c r="BE220" s="16114"/>
      <c r="BF220" s="16114"/>
      <c r="BG220" s="16114"/>
      <c r="BH220" s="16114"/>
      <c r="BI220" s="16114"/>
      <c r="BJ220" s="16114"/>
      <c r="BK220" s="16114"/>
      <c r="BL220" s="16114"/>
      <c r="BM220" s="16115"/>
      <c r="BN220" s="16113"/>
      <c r="BO220" s="16114"/>
      <c r="BP220" s="16114"/>
      <c r="BQ220" s="16114"/>
      <c r="BR220" s="16114"/>
      <c r="BS220" s="16114"/>
      <c r="BT220" s="16114"/>
      <c r="BU220" s="16114"/>
      <c r="BV220" s="16114"/>
      <c r="BW220" s="16114"/>
      <c r="BX220" s="16115"/>
      <c r="BY220" s="16113"/>
      <c r="BZ220" s="16114"/>
      <c r="CA220" s="16114"/>
      <c r="CB220" s="16114"/>
      <c r="CC220" s="16114"/>
      <c r="CD220" s="16114"/>
      <c r="CE220" s="16114"/>
      <c r="CF220" s="16114"/>
      <c r="CG220" s="16114"/>
      <c r="CH220" s="16114"/>
      <c r="CI220" s="16115"/>
      <c r="CJ220" s="16113"/>
      <c r="CK220" s="16114"/>
      <c r="CL220" s="16114"/>
      <c r="CM220" s="16114"/>
      <c r="CN220" s="16114"/>
      <c r="CO220" s="16114"/>
      <c r="CP220" s="16114"/>
      <c r="CQ220" s="16114"/>
      <c r="CR220" s="16114"/>
      <c r="CS220" s="16114"/>
      <c r="CT220" s="16115"/>
      <c r="CU220" s="16113"/>
      <c r="CV220" s="16114"/>
      <c r="CW220" s="16114"/>
      <c r="CX220" s="16114"/>
      <c r="CY220" s="16114"/>
      <c r="CZ220" s="16114"/>
      <c r="DA220" s="16114"/>
      <c r="DB220" s="16114"/>
      <c r="DC220" s="16114"/>
      <c r="DD220" s="16114"/>
      <c r="DE220" s="16115"/>
      <c r="DF220" s="16113"/>
      <c r="DG220" s="16114"/>
      <c r="DH220" s="16114"/>
      <c r="DI220" s="16114"/>
      <c r="DJ220" s="16114"/>
      <c r="DK220" s="16114"/>
      <c r="DL220" s="16114"/>
      <c r="DM220" s="16114"/>
      <c r="DN220" s="16114"/>
      <c r="DO220" s="16114"/>
      <c r="DP220" s="16115"/>
      <c r="DQ220" s="16113"/>
      <c r="DR220" s="16114"/>
      <c r="DS220" s="16114"/>
      <c r="DT220" s="16114"/>
      <c r="DU220" s="16114"/>
      <c r="DV220" s="16114"/>
      <c r="DW220" s="16114"/>
      <c r="DX220" s="16114"/>
      <c r="DY220" s="16114"/>
      <c r="DZ220" s="16114"/>
      <c r="EA220" s="16115"/>
      <c r="EB220" s="16113"/>
      <c r="EC220" s="16114"/>
      <c r="ED220" s="16114"/>
      <c r="EE220" s="16114"/>
      <c r="EF220" s="16114"/>
      <c r="EG220" s="16114"/>
      <c r="EH220" s="16114"/>
      <c r="EI220" s="16114"/>
      <c r="EJ220" s="16114"/>
      <c r="EK220" s="16114"/>
      <c r="EL220" s="16115"/>
      <c r="EM220" s="16113"/>
      <c r="EN220" s="16114"/>
      <c r="EO220" s="16114"/>
      <c r="EP220" s="16114"/>
      <c r="EQ220" s="16114"/>
      <c r="ER220" s="16114"/>
      <c r="ES220" s="16114"/>
      <c r="ET220" s="16114"/>
      <c r="EU220" s="16114"/>
      <c r="EV220" s="16114"/>
      <c r="EW220" s="16115"/>
      <c r="EX220" s="16115"/>
      <c r="EY220" s="2519" t="s">
        <v>620</v>
      </c>
      <c r="EZ220" s="2199"/>
      <c r="FA220" s="2512"/>
      <c r="FB220" s="2512" t="str">
        <f t="shared" si="3"/>
        <v>Группа потребителей</v>
      </c>
      <c r="FC220" s="2512"/>
      <c r="FD220" s="2512"/>
    </row>
    <row r="221" spans="1:160" s="15256" customFormat="1" ht="23.25" customHeight="1">
      <c r="A221" s="2502"/>
      <c r="B221" s="2502"/>
      <c r="C221" s="2502"/>
      <c r="D221" s="2502"/>
      <c r="E221" s="16125"/>
      <c r="F221" s="16125" t="s">
        <v>117</v>
      </c>
      <c r="G221" s="16125"/>
      <c r="H221" s="16125"/>
      <c r="I221" s="16145"/>
      <c r="J221" s="16145"/>
      <c r="K221" s="16122" t="str">
        <f>J220&amp;".1"</f>
        <v>2.6.1.1.1.1</v>
      </c>
      <c r="L221" s="2503"/>
      <c r="M221" s="2513"/>
      <c r="N221" s="2513"/>
      <c r="O221" s="2513"/>
      <c r="P221" s="16123"/>
      <c r="Q221" s="16123"/>
      <c r="R221" s="2517">
        <v>1</v>
      </c>
      <c r="S221" s="2508" t="str">
        <f>$K221</f>
        <v>2.6.1.1.1.1</v>
      </c>
      <c r="T221" s="2520"/>
      <c r="U221" s="2510"/>
      <c r="V221" s="1893"/>
      <c r="W221" s="1893"/>
      <c r="X221" s="1893"/>
      <c r="Y221" s="1893"/>
      <c r="Z221" s="1893"/>
      <c r="AA221" s="1893"/>
      <c r="AB221" s="1893"/>
      <c r="AC221" s="16127"/>
      <c r="AD221" s="15973" t="s">
        <v>66</v>
      </c>
      <c r="AE221" s="16127"/>
      <c r="AF221" s="15973" t="s">
        <v>66</v>
      </c>
      <c r="AG221" s="1893">
        <v>36.950000000000003</v>
      </c>
      <c r="AH221" s="1893"/>
      <c r="AI221" s="1893"/>
      <c r="AJ221" s="1893"/>
      <c r="AK221" s="1893">
        <v>5493.65</v>
      </c>
      <c r="AL221" s="1893"/>
      <c r="AM221" s="1893"/>
      <c r="AN221" s="16127">
        <v>45292</v>
      </c>
      <c r="AO221" s="15973" t="s">
        <v>66</v>
      </c>
      <c r="AP221" s="16146">
        <v>45378</v>
      </c>
      <c r="AQ221" s="15973" t="s">
        <v>66</v>
      </c>
      <c r="AR221" s="1893">
        <v>36.950000000000003</v>
      </c>
      <c r="AS221" s="1893"/>
      <c r="AT221" s="1893"/>
      <c r="AU221" s="1893"/>
      <c r="AV221" s="1893">
        <v>5493.65</v>
      </c>
      <c r="AW221" s="1893"/>
      <c r="AX221" s="1893"/>
      <c r="AY221" s="16127">
        <v>45379</v>
      </c>
      <c r="AZ221" s="15973" t="s">
        <v>66</v>
      </c>
      <c r="BA221" s="16127">
        <v>45473</v>
      </c>
      <c r="BB221" s="15973" t="s">
        <v>66</v>
      </c>
      <c r="BC221" s="1893">
        <v>36.950000000000003</v>
      </c>
      <c r="BD221" s="1893"/>
      <c r="BE221" s="1893"/>
      <c r="BF221" s="1893"/>
      <c r="BG221" s="1893">
        <v>5493.65</v>
      </c>
      <c r="BH221" s="1893"/>
      <c r="BI221" s="1893"/>
      <c r="BJ221" s="16127">
        <v>45474</v>
      </c>
      <c r="BK221" s="15973" t="s">
        <v>66</v>
      </c>
      <c r="BL221" s="16127">
        <v>45657</v>
      </c>
      <c r="BM221" s="15973" t="s">
        <v>66</v>
      </c>
      <c r="BN221" s="1893">
        <v>36.950000000000003</v>
      </c>
      <c r="BO221" s="1893"/>
      <c r="BP221" s="1893"/>
      <c r="BQ221" s="1893"/>
      <c r="BR221" s="1893">
        <v>5407.73</v>
      </c>
      <c r="BS221" s="1893"/>
      <c r="BT221" s="1893"/>
      <c r="BU221" s="16127">
        <v>45658</v>
      </c>
      <c r="BV221" s="15973" t="s">
        <v>66</v>
      </c>
      <c r="BW221" s="16127">
        <v>45838</v>
      </c>
      <c r="BX221" s="15973" t="s">
        <v>66</v>
      </c>
      <c r="BY221" s="1893">
        <v>38.5</v>
      </c>
      <c r="BZ221" s="1893"/>
      <c r="CA221" s="1893"/>
      <c r="CB221" s="1893"/>
      <c r="CC221" s="1893">
        <v>5407.73</v>
      </c>
      <c r="CD221" s="1893"/>
      <c r="CE221" s="1893"/>
      <c r="CF221" s="16127">
        <v>45839</v>
      </c>
      <c r="CG221" s="15973" t="s">
        <v>66</v>
      </c>
      <c r="CH221" s="16127">
        <v>46022</v>
      </c>
      <c r="CI221" s="15973" t="s">
        <v>66</v>
      </c>
      <c r="CJ221" s="1893">
        <v>38.5</v>
      </c>
      <c r="CK221" s="1893"/>
      <c r="CL221" s="1893"/>
      <c r="CM221" s="1893"/>
      <c r="CN221" s="1893">
        <v>5407.73</v>
      </c>
      <c r="CO221" s="1893"/>
      <c r="CP221" s="1893"/>
      <c r="CQ221" s="16127">
        <v>46023</v>
      </c>
      <c r="CR221" s="15973" t="s">
        <v>66</v>
      </c>
      <c r="CS221" s="16127">
        <v>46203</v>
      </c>
      <c r="CT221" s="15973" t="s">
        <v>66</v>
      </c>
      <c r="CU221" s="1893">
        <v>40.04</v>
      </c>
      <c r="CV221" s="1893"/>
      <c r="CW221" s="1893"/>
      <c r="CX221" s="1893"/>
      <c r="CY221" s="1893">
        <v>5681.64</v>
      </c>
      <c r="CZ221" s="1893"/>
      <c r="DA221" s="1893"/>
      <c r="DB221" s="16127">
        <v>46204</v>
      </c>
      <c r="DC221" s="15973" t="s">
        <v>66</v>
      </c>
      <c r="DD221" s="16127">
        <v>46387</v>
      </c>
      <c r="DE221" s="15973" t="s">
        <v>66</v>
      </c>
      <c r="DF221" s="1893">
        <v>40.04</v>
      </c>
      <c r="DG221" s="1893"/>
      <c r="DH221" s="1893"/>
      <c r="DI221" s="1893"/>
      <c r="DJ221" s="1893">
        <v>5674.41</v>
      </c>
      <c r="DK221" s="1893"/>
      <c r="DL221" s="1893"/>
      <c r="DM221" s="16127">
        <v>46388</v>
      </c>
      <c r="DN221" s="15973" t="s">
        <v>66</v>
      </c>
      <c r="DO221" s="16127">
        <v>46568</v>
      </c>
      <c r="DP221" s="15973" t="s">
        <v>66</v>
      </c>
      <c r="DQ221" s="1893">
        <v>41.64</v>
      </c>
      <c r="DR221" s="1893"/>
      <c r="DS221" s="1893"/>
      <c r="DT221" s="1893"/>
      <c r="DU221" s="1893">
        <v>5674.41</v>
      </c>
      <c r="DV221" s="1893"/>
      <c r="DW221" s="1893"/>
      <c r="DX221" s="16127">
        <v>46569</v>
      </c>
      <c r="DY221" s="15973" t="s">
        <v>66</v>
      </c>
      <c r="DZ221" s="16127">
        <v>46752</v>
      </c>
      <c r="EA221" s="15973" t="s">
        <v>66</v>
      </c>
      <c r="EB221" s="1893">
        <v>41.64</v>
      </c>
      <c r="EC221" s="1893"/>
      <c r="ED221" s="1893"/>
      <c r="EE221" s="1893"/>
      <c r="EF221" s="1893">
        <v>5674.41</v>
      </c>
      <c r="EG221" s="1893"/>
      <c r="EH221" s="1893"/>
      <c r="EI221" s="16127">
        <v>46753</v>
      </c>
      <c r="EJ221" s="15973" t="s">
        <v>66</v>
      </c>
      <c r="EK221" s="16127">
        <v>46934</v>
      </c>
      <c r="EL221" s="15973" t="s">
        <v>66</v>
      </c>
      <c r="EM221" s="14448">
        <v>43.31</v>
      </c>
      <c r="EN221" s="14448"/>
      <c r="EO221" s="14448"/>
      <c r="EP221" s="14448"/>
      <c r="EQ221" s="14448">
        <v>5989.65</v>
      </c>
      <c r="ER221" s="14448"/>
      <c r="ES221" s="14448"/>
      <c r="ET221" s="16127">
        <v>46935</v>
      </c>
      <c r="EU221" s="15973" t="s">
        <v>66</v>
      </c>
      <c r="EV221" s="16127">
        <v>47118</v>
      </c>
      <c r="EW221" s="15973" t="s">
        <v>66</v>
      </c>
      <c r="EX221" s="2521"/>
      <c r="EY22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21" s="2199" t="e">
        <f ca="1">STRCHECKDATE(V222:EX222)</f>
        <v>#NAME?</v>
      </c>
      <c r="FA221" s="2512"/>
      <c r="FB221" s="2512" t="str">
        <f t="shared" si="3"/>
        <v/>
      </c>
      <c r="FC221" s="2512"/>
      <c r="FD221" s="2512"/>
    </row>
    <row r="222" spans="1:160" s="15257" customFormat="1" ht="14.25" customHeight="1">
      <c r="A222" s="2502"/>
      <c r="B222" s="2502"/>
      <c r="C222" s="2502"/>
      <c r="D222" s="2502"/>
      <c r="E222" s="16125"/>
      <c r="F222" s="16125" t="s">
        <v>117</v>
      </c>
      <c r="G222" s="16125"/>
      <c r="H222" s="16125"/>
      <c r="I222" s="16145"/>
      <c r="J222" s="16145"/>
      <c r="K222" s="16122"/>
      <c r="L222" s="2503"/>
      <c r="M222" s="2513"/>
      <c r="N222" s="2513"/>
      <c r="O222" s="2513"/>
      <c r="P222" s="16123"/>
      <c r="Q222" s="16123"/>
      <c r="R222" s="2517"/>
      <c r="S222" s="2522"/>
      <c r="T222" s="2510"/>
      <c r="U222" s="2510"/>
      <c r="V222" s="1894"/>
      <c r="W222" s="1894"/>
      <c r="X222" s="1894"/>
      <c r="Y222" s="1894"/>
      <c r="Z222" s="1894"/>
      <c r="AA222" s="1894"/>
      <c r="AB222" s="1894"/>
      <c r="AC222" s="16128"/>
      <c r="AD222" s="15973"/>
      <c r="AE222" s="16128"/>
      <c r="AF222" s="15973"/>
      <c r="AG222" s="1894"/>
      <c r="AH222" s="1894"/>
      <c r="AI222" s="1894"/>
      <c r="AJ222" s="1894"/>
      <c r="AK222" s="1894"/>
      <c r="AL222" s="1894"/>
      <c r="AM222" s="1894"/>
      <c r="AN222" s="16128"/>
      <c r="AO222" s="15973"/>
      <c r="AP222" s="16147"/>
      <c r="AQ222" s="15973"/>
      <c r="AR222" s="1894"/>
      <c r="AS222" s="1894"/>
      <c r="AT222" s="1894"/>
      <c r="AU222" s="1894"/>
      <c r="AV222" s="1894"/>
      <c r="AW222" s="1894"/>
      <c r="AX222" s="1894"/>
      <c r="AY222" s="16128"/>
      <c r="AZ222" s="15973"/>
      <c r="BA222" s="16128"/>
      <c r="BB222" s="15973"/>
      <c r="BC222" s="1894"/>
      <c r="BD222" s="1894"/>
      <c r="BE222" s="1894"/>
      <c r="BF222" s="1894"/>
      <c r="BG222" s="1894"/>
      <c r="BH222" s="1894"/>
      <c r="BI222" s="1894"/>
      <c r="BJ222" s="16128"/>
      <c r="BK222" s="15973"/>
      <c r="BL222" s="16128"/>
      <c r="BM222" s="15973"/>
      <c r="BN222" s="1894"/>
      <c r="BO222" s="1894"/>
      <c r="BP222" s="1894"/>
      <c r="BQ222" s="1894"/>
      <c r="BR222" s="1894"/>
      <c r="BS222" s="1894"/>
      <c r="BT222" s="1894"/>
      <c r="BU222" s="16128"/>
      <c r="BV222" s="15973"/>
      <c r="BW222" s="16128"/>
      <c r="BX222" s="15973"/>
      <c r="BY222" s="1894"/>
      <c r="BZ222" s="1894"/>
      <c r="CA222" s="1894"/>
      <c r="CB222" s="1894"/>
      <c r="CC222" s="1894"/>
      <c r="CD222" s="1894"/>
      <c r="CE222" s="1894"/>
      <c r="CF222" s="16128"/>
      <c r="CG222" s="15973"/>
      <c r="CH222" s="16128"/>
      <c r="CI222" s="15973"/>
      <c r="CJ222" s="1894"/>
      <c r="CK222" s="1894"/>
      <c r="CL222" s="1894"/>
      <c r="CM222" s="1894"/>
      <c r="CN222" s="1894"/>
      <c r="CO222" s="1894"/>
      <c r="CP222" s="1894"/>
      <c r="CQ222" s="16128"/>
      <c r="CR222" s="15973"/>
      <c r="CS222" s="16128"/>
      <c r="CT222" s="15973"/>
      <c r="CU222" s="1894"/>
      <c r="CV222" s="1894"/>
      <c r="CW222" s="1894"/>
      <c r="CX222" s="1894"/>
      <c r="CY222" s="1894"/>
      <c r="CZ222" s="1894"/>
      <c r="DA222" s="1894"/>
      <c r="DB222" s="16128"/>
      <c r="DC222" s="15973"/>
      <c r="DD222" s="16128"/>
      <c r="DE222" s="15973"/>
      <c r="DF222" s="1894"/>
      <c r="DG222" s="1894"/>
      <c r="DH222" s="1894"/>
      <c r="DI222" s="1894"/>
      <c r="DJ222" s="1894"/>
      <c r="DK222" s="1894"/>
      <c r="DL222" s="1894"/>
      <c r="DM222" s="16128"/>
      <c r="DN222" s="15973"/>
      <c r="DO222" s="16128"/>
      <c r="DP222" s="15973"/>
      <c r="DQ222" s="1894"/>
      <c r="DR222" s="1894"/>
      <c r="DS222" s="1894"/>
      <c r="DT222" s="1894"/>
      <c r="DU222" s="1894"/>
      <c r="DV222" s="1894"/>
      <c r="DW222" s="1894"/>
      <c r="DX222" s="16128"/>
      <c r="DY222" s="15973"/>
      <c r="DZ222" s="16128"/>
      <c r="EA222" s="15973"/>
      <c r="EB222" s="1894"/>
      <c r="EC222" s="1894"/>
      <c r="ED222" s="1894"/>
      <c r="EE222" s="1894"/>
      <c r="EF222" s="1894"/>
      <c r="EG222" s="1894"/>
      <c r="EH222" s="1894"/>
      <c r="EI222" s="16128"/>
      <c r="EJ222" s="15973"/>
      <c r="EK222" s="16128"/>
      <c r="EL222" s="15973"/>
      <c r="EM222" s="14449"/>
      <c r="EN222" s="14449"/>
      <c r="EO222" s="14449"/>
      <c r="EP222" s="14449"/>
      <c r="EQ222" s="14449"/>
      <c r="ER222" s="14449"/>
      <c r="ES222" s="14449"/>
      <c r="ET222" s="16128"/>
      <c r="EU222" s="15973"/>
      <c r="EV222" s="16128"/>
      <c r="EW222" s="15973"/>
      <c r="EX222" s="2523"/>
      <c r="EY222" s="16182"/>
      <c r="EZ222" s="2199"/>
      <c r="FA222" s="2512"/>
      <c r="FB222" s="2512" t="str">
        <f t="shared" si="3"/>
        <v/>
      </c>
      <c r="FC222" s="2512"/>
      <c r="FD222" s="2512"/>
    </row>
    <row r="223" spans="1:160" s="15258" customFormat="1" ht="21" customHeight="1">
      <c r="A223" s="2502"/>
      <c r="B223" s="2502"/>
      <c r="C223" s="2502"/>
      <c r="D223" s="2502"/>
      <c r="E223" s="16125"/>
      <c r="F223" s="16125" t="s">
        <v>117</v>
      </c>
      <c r="G223" s="16125"/>
      <c r="H223" s="16125"/>
      <c r="I223" s="16145"/>
      <c r="J223" s="16122"/>
      <c r="K223" s="2502"/>
      <c r="L223" s="2503"/>
      <c r="M223" s="2513"/>
      <c r="N223" s="2513"/>
      <c r="O223" s="2513"/>
      <c r="P223" s="16123"/>
      <c r="Q223" s="16123"/>
      <c r="R223" s="2515"/>
      <c r="S223" s="8947"/>
      <c r="T223" s="8948" t="s">
        <v>621</v>
      </c>
      <c r="U223" s="8949"/>
      <c r="V223" s="8950"/>
      <c r="W223" s="8951"/>
      <c r="X223" s="8952"/>
      <c r="Y223" s="8953"/>
      <c r="Z223" s="8954"/>
      <c r="AA223" s="8955"/>
      <c r="AB223" s="8956"/>
      <c r="AC223" s="8957"/>
      <c r="AD223" s="8958"/>
      <c r="AE223" s="8959"/>
      <c r="AF223" s="8960"/>
      <c r="AG223" s="8961"/>
      <c r="AH223" s="8962"/>
      <c r="AI223" s="8963"/>
      <c r="AJ223" s="8964"/>
      <c r="AK223" s="8965"/>
      <c r="AL223" s="8966"/>
      <c r="AM223" s="8967"/>
      <c r="AN223" s="8968"/>
      <c r="AO223" s="8969"/>
      <c r="AP223" s="8970"/>
      <c r="AQ223" s="8971"/>
      <c r="AR223" s="8972"/>
      <c r="AS223" s="8973"/>
      <c r="AT223" s="8974"/>
      <c r="AU223" s="8975"/>
      <c r="AV223" s="8976"/>
      <c r="AW223" s="8977"/>
      <c r="AX223" s="8978"/>
      <c r="AY223" s="8979"/>
      <c r="AZ223" s="8980"/>
      <c r="BA223" s="8981"/>
      <c r="BB223" s="8982"/>
      <c r="BC223" s="8983"/>
      <c r="BD223" s="8984"/>
      <c r="BE223" s="8985"/>
      <c r="BF223" s="8986"/>
      <c r="BG223" s="8987"/>
      <c r="BH223" s="8988"/>
      <c r="BI223" s="8989"/>
      <c r="BJ223" s="8990"/>
      <c r="BK223" s="8991"/>
      <c r="BL223" s="8992"/>
      <c r="BM223" s="8993"/>
      <c r="BN223" s="8994"/>
      <c r="BO223" s="8995"/>
      <c r="BP223" s="8996"/>
      <c r="BQ223" s="8997"/>
      <c r="BR223" s="8998"/>
      <c r="BS223" s="8999"/>
      <c r="BT223" s="9000"/>
      <c r="BU223" s="9001"/>
      <c r="BV223" s="9002"/>
      <c r="BW223" s="9003"/>
      <c r="BX223" s="9004"/>
      <c r="BY223" s="9005"/>
      <c r="BZ223" s="9006"/>
      <c r="CA223" s="9007"/>
      <c r="CB223" s="9008"/>
      <c r="CC223" s="9009"/>
      <c r="CD223" s="9010"/>
      <c r="CE223" s="9011"/>
      <c r="CF223" s="9012"/>
      <c r="CG223" s="9013"/>
      <c r="CH223" s="9014"/>
      <c r="CI223" s="9015"/>
      <c r="CJ223" s="9016"/>
      <c r="CK223" s="9017"/>
      <c r="CL223" s="9018"/>
      <c r="CM223" s="9019"/>
      <c r="CN223" s="9020"/>
      <c r="CO223" s="9021"/>
      <c r="CP223" s="9022"/>
      <c r="CQ223" s="9023"/>
      <c r="CR223" s="9024"/>
      <c r="CS223" s="9025"/>
      <c r="CT223" s="9026"/>
      <c r="CU223" s="9027"/>
      <c r="CV223" s="9028"/>
      <c r="CW223" s="9029"/>
      <c r="CX223" s="9030"/>
      <c r="CY223" s="9031"/>
      <c r="CZ223" s="9032"/>
      <c r="DA223" s="9033"/>
      <c r="DB223" s="9034"/>
      <c r="DC223" s="9035"/>
      <c r="DD223" s="9036"/>
      <c r="DE223" s="9037"/>
      <c r="DF223" s="9038"/>
      <c r="DG223" s="9039"/>
      <c r="DH223" s="9040"/>
      <c r="DI223" s="9041"/>
      <c r="DJ223" s="9042"/>
      <c r="DK223" s="9043"/>
      <c r="DL223" s="9044"/>
      <c r="DM223" s="9045"/>
      <c r="DN223" s="9046"/>
      <c r="DO223" s="9047"/>
      <c r="DP223" s="9048"/>
      <c r="DQ223" s="9049"/>
      <c r="DR223" s="9050"/>
      <c r="DS223" s="9051"/>
      <c r="DT223" s="9052"/>
      <c r="DU223" s="9053"/>
      <c r="DV223" s="9054"/>
      <c r="DW223" s="9055"/>
      <c r="DX223" s="9056"/>
      <c r="DY223" s="9057"/>
      <c r="DZ223" s="9058"/>
      <c r="EA223" s="9059"/>
      <c r="EB223" s="9060"/>
      <c r="EC223" s="9061"/>
      <c r="ED223" s="9062"/>
      <c r="EE223" s="9063"/>
      <c r="EF223" s="9064"/>
      <c r="EG223" s="9065"/>
      <c r="EH223" s="9066"/>
      <c r="EI223" s="9067"/>
      <c r="EJ223" s="9068"/>
      <c r="EK223" s="9069"/>
      <c r="EL223" s="9070"/>
      <c r="EM223" s="15259"/>
      <c r="EN223" s="15260"/>
      <c r="EO223" s="15261"/>
      <c r="EP223" s="15262"/>
      <c r="EQ223" s="15263"/>
      <c r="ER223" s="15264"/>
      <c r="ES223" s="15265"/>
      <c r="ET223" s="15266"/>
      <c r="EU223" s="15267"/>
      <c r="EV223" s="15268"/>
      <c r="EW223" s="15269"/>
      <c r="EX223" s="9071"/>
      <c r="EY223" s="2511" t="s">
        <v>622</v>
      </c>
      <c r="EZ223" s="2199"/>
      <c r="FA223" s="2512"/>
      <c r="FB223" s="2512" t="str">
        <f t="shared" si="3"/>
        <v>Добавить значение признака дифференциации</v>
      </c>
      <c r="FC223" s="2512"/>
      <c r="FD223" s="2512"/>
    </row>
    <row r="224" spans="1:160" s="15270" customFormat="1" ht="21" customHeight="1">
      <c r="A224" s="2502"/>
      <c r="B224" s="2502"/>
      <c r="C224" s="2502"/>
      <c r="D224" s="2502"/>
      <c r="E224" s="16125"/>
      <c r="F224" s="16125" t="s">
        <v>117</v>
      </c>
      <c r="G224" s="16125"/>
      <c r="H224" s="16125"/>
      <c r="I224" s="16122"/>
      <c r="J224" s="2502"/>
      <c r="K224" s="2502"/>
      <c r="L224" s="2503"/>
      <c r="M224" s="2513"/>
      <c r="N224" s="2513"/>
      <c r="O224" s="2513"/>
      <c r="P224" s="16123"/>
      <c r="Q224" s="2514"/>
      <c r="R224" s="2515"/>
      <c r="S224" s="9072"/>
      <c r="T224" s="9073" t="s">
        <v>549</v>
      </c>
      <c r="U224" s="9074"/>
      <c r="V224" s="9075"/>
      <c r="W224" s="9076"/>
      <c r="X224" s="9077"/>
      <c r="Y224" s="9078"/>
      <c r="Z224" s="9079"/>
      <c r="AA224" s="9080"/>
      <c r="AB224" s="9081"/>
      <c r="AC224" s="9082"/>
      <c r="AD224" s="9083"/>
      <c r="AE224" s="9084"/>
      <c r="AF224" s="9085"/>
      <c r="AG224" s="9086"/>
      <c r="AH224" s="9087"/>
      <c r="AI224" s="9088"/>
      <c r="AJ224" s="9089"/>
      <c r="AK224" s="9090"/>
      <c r="AL224" s="9091"/>
      <c r="AM224" s="9092"/>
      <c r="AN224" s="9093"/>
      <c r="AO224" s="9094"/>
      <c r="AP224" s="9095"/>
      <c r="AQ224" s="9096"/>
      <c r="AR224" s="9097"/>
      <c r="AS224" s="9098"/>
      <c r="AT224" s="9099"/>
      <c r="AU224" s="9100"/>
      <c r="AV224" s="9101"/>
      <c r="AW224" s="9102"/>
      <c r="AX224" s="9103"/>
      <c r="AY224" s="9104"/>
      <c r="AZ224" s="9105"/>
      <c r="BA224" s="9106"/>
      <c r="BB224" s="9107"/>
      <c r="BC224" s="9108"/>
      <c r="BD224" s="9109"/>
      <c r="BE224" s="9110"/>
      <c r="BF224" s="9111"/>
      <c r="BG224" s="9112"/>
      <c r="BH224" s="9113"/>
      <c r="BI224" s="9114"/>
      <c r="BJ224" s="9115"/>
      <c r="BK224" s="9116"/>
      <c r="BL224" s="9117"/>
      <c r="BM224" s="9118"/>
      <c r="BN224" s="9119"/>
      <c r="BO224" s="9120"/>
      <c r="BP224" s="9121"/>
      <c r="BQ224" s="9122"/>
      <c r="BR224" s="9123"/>
      <c r="BS224" s="9124"/>
      <c r="BT224" s="9125"/>
      <c r="BU224" s="9126"/>
      <c r="BV224" s="9127"/>
      <c r="BW224" s="9128"/>
      <c r="BX224" s="9129"/>
      <c r="BY224" s="9130"/>
      <c r="BZ224" s="9131"/>
      <c r="CA224" s="9132"/>
      <c r="CB224" s="9133"/>
      <c r="CC224" s="9134"/>
      <c r="CD224" s="9135"/>
      <c r="CE224" s="9136"/>
      <c r="CF224" s="9137"/>
      <c r="CG224" s="9138"/>
      <c r="CH224" s="9139"/>
      <c r="CI224" s="9140"/>
      <c r="CJ224" s="9141"/>
      <c r="CK224" s="9142"/>
      <c r="CL224" s="9143"/>
      <c r="CM224" s="9144"/>
      <c r="CN224" s="9145"/>
      <c r="CO224" s="9146"/>
      <c r="CP224" s="9147"/>
      <c r="CQ224" s="9148"/>
      <c r="CR224" s="9149"/>
      <c r="CS224" s="9150"/>
      <c r="CT224" s="9151"/>
      <c r="CU224" s="9152"/>
      <c r="CV224" s="9153"/>
      <c r="CW224" s="9154"/>
      <c r="CX224" s="9155"/>
      <c r="CY224" s="9156"/>
      <c r="CZ224" s="9157"/>
      <c r="DA224" s="9158"/>
      <c r="DB224" s="9159"/>
      <c r="DC224" s="9160"/>
      <c r="DD224" s="9161"/>
      <c r="DE224" s="9162"/>
      <c r="DF224" s="9163"/>
      <c r="DG224" s="9164"/>
      <c r="DH224" s="9165"/>
      <c r="DI224" s="9166"/>
      <c r="DJ224" s="9167"/>
      <c r="DK224" s="9168"/>
      <c r="DL224" s="9169"/>
      <c r="DM224" s="9170"/>
      <c r="DN224" s="9171"/>
      <c r="DO224" s="9172"/>
      <c r="DP224" s="9173"/>
      <c r="DQ224" s="9174"/>
      <c r="DR224" s="9175"/>
      <c r="DS224" s="9176"/>
      <c r="DT224" s="9177"/>
      <c r="DU224" s="9178"/>
      <c r="DV224" s="9179"/>
      <c r="DW224" s="9180"/>
      <c r="DX224" s="9181"/>
      <c r="DY224" s="9182"/>
      <c r="DZ224" s="9183"/>
      <c r="EA224" s="9184"/>
      <c r="EB224" s="9185"/>
      <c r="EC224" s="9186"/>
      <c r="ED224" s="9187"/>
      <c r="EE224" s="9188"/>
      <c r="EF224" s="9189"/>
      <c r="EG224" s="9190"/>
      <c r="EH224" s="9191"/>
      <c r="EI224" s="9192"/>
      <c r="EJ224" s="9193"/>
      <c r="EK224" s="9194"/>
      <c r="EL224" s="9195"/>
      <c r="EM224" s="15271"/>
      <c r="EN224" s="15272"/>
      <c r="EO224" s="15273"/>
      <c r="EP224" s="15274"/>
      <c r="EQ224" s="15275"/>
      <c r="ER224" s="15276"/>
      <c r="ES224" s="15277"/>
      <c r="ET224" s="15278"/>
      <c r="EU224" s="15279"/>
      <c r="EV224" s="15280"/>
      <c r="EW224" s="15281"/>
      <c r="EX224" s="9196"/>
      <c r="EY224" s="9197"/>
      <c r="EZ224" s="2199"/>
      <c r="FA224" s="2512"/>
      <c r="FB224" s="2512" t="str">
        <f t="shared" si="3"/>
        <v>Добавить группу потребителей</v>
      </c>
      <c r="FC224" s="2512"/>
      <c r="FD224" s="2512"/>
    </row>
    <row r="225" spans="1:160" s="15282" customFormat="1" ht="21" customHeight="1">
      <c r="A225" s="2502"/>
      <c r="B225" s="2502"/>
      <c r="C225" s="2502"/>
      <c r="D225" s="2502"/>
      <c r="E225" s="16125"/>
      <c r="F225" s="16125" t="s">
        <v>117</v>
      </c>
      <c r="G225" s="16125"/>
      <c r="H225" s="16124"/>
      <c r="I225" s="2502"/>
      <c r="J225" s="2502"/>
      <c r="K225" s="2502"/>
      <c r="L225" s="2503"/>
      <c r="M225" s="2504"/>
      <c r="N225" s="2504"/>
      <c r="O225" s="2193"/>
      <c r="P225" s="2775"/>
      <c r="Q225" s="2776"/>
      <c r="R225" s="2777"/>
      <c r="S225" s="9198"/>
      <c r="T225" s="9199" t="s">
        <v>623</v>
      </c>
      <c r="U225" s="9200"/>
      <c r="V225" s="9201"/>
      <c r="W225" s="9202"/>
      <c r="X225" s="9203"/>
      <c r="Y225" s="9204"/>
      <c r="Z225" s="9205"/>
      <c r="AA225" s="9206"/>
      <c r="AB225" s="9207"/>
      <c r="AC225" s="9208"/>
      <c r="AD225" s="9209"/>
      <c r="AE225" s="9210"/>
      <c r="AF225" s="9211"/>
      <c r="AG225" s="9212"/>
      <c r="AH225" s="9213"/>
      <c r="AI225" s="9214"/>
      <c r="AJ225" s="9215"/>
      <c r="AK225" s="9216"/>
      <c r="AL225" s="9217"/>
      <c r="AM225" s="9218"/>
      <c r="AN225" s="9219"/>
      <c r="AO225" s="9220"/>
      <c r="AP225" s="9221"/>
      <c r="AQ225" s="9222"/>
      <c r="AR225" s="9223"/>
      <c r="AS225" s="9224"/>
      <c r="AT225" s="9225"/>
      <c r="AU225" s="9226"/>
      <c r="AV225" s="9227"/>
      <c r="AW225" s="9228"/>
      <c r="AX225" s="9229"/>
      <c r="AY225" s="9230"/>
      <c r="AZ225" s="9231"/>
      <c r="BA225" s="9232"/>
      <c r="BB225" s="9233"/>
      <c r="BC225" s="9234"/>
      <c r="BD225" s="9235"/>
      <c r="BE225" s="9236"/>
      <c r="BF225" s="9237"/>
      <c r="BG225" s="9238"/>
      <c r="BH225" s="9239"/>
      <c r="BI225" s="9240"/>
      <c r="BJ225" s="9241"/>
      <c r="BK225" s="9242"/>
      <c r="BL225" s="9243"/>
      <c r="BM225" s="9244"/>
      <c r="BN225" s="9245"/>
      <c r="BO225" s="9246"/>
      <c r="BP225" s="9247"/>
      <c r="BQ225" s="9248"/>
      <c r="BR225" s="9249"/>
      <c r="BS225" s="9250"/>
      <c r="BT225" s="9251"/>
      <c r="BU225" s="9252"/>
      <c r="BV225" s="9253"/>
      <c r="BW225" s="9254"/>
      <c r="BX225" s="9255"/>
      <c r="BY225" s="9256"/>
      <c r="BZ225" s="9257"/>
      <c r="CA225" s="9258"/>
      <c r="CB225" s="9259"/>
      <c r="CC225" s="9260"/>
      <c r="CD225" s="9261"/>
      <c r="CE225" s="9262"/>
      <c r="CF225" s="9263"/>
      <c r="CG225" s="9264"/>
      <c r="CH225" s="9265"/>
      <c r="CI225" s="9266"/>
      <c r="CJ225" s="9267"/>
      <c r="CK225" s="9268"/>
      <c r="CL225" s="9269"/>
      <c r="CM225" s="9270"/>
      <c r="CN225" s="9271"/>
      <c r="CO225" s="9272"/>
      <c r="CP225" s="9273"/>
      <c r="CQ225" s="9274"/>
      <c r="CR225" s="9275"/>
      <c r="CS225" s="9276"/>
      <c r="CT225" s="9277"/>
      <c r="CU225" s="9278"/>
      <c r="CV225" s="9279"/>
      <c r="CW225" s="9280"/>
      <c r="CX225" s="9281"/>
      <c r="CY225" s="9282"/>
      <c r="CZ225" s="9283"/>
      <c r="DA225" s="9284"/>
      <c r="DB225" s="9285"/>
      <c r="DC225" s="9286"/>
      <c r="DD225" s="9287"/>
      <c r="DE225" s="9288"/>
      <c r="DF225" s="9289"/>
      <c r="DG225" s="9290"/>
      <c r="DH225" s="9291"/>
      <c r="DI225" s="9292"/>
      <c r="DJ225" s="9293"/>
      <c r="DK225" s="9294"/>
      <c r="DL225" s="9295"/>
      <c r="DM225" s="9296"/>
      <c r="DN225" s="9297"/>
      <c r="DO225" s="9298"/>
      <c r="DP225" s="9299"/>
      <c r="DQ225" s="9300"/>
      <c r="DR225" s="9301"/>
      <c r="DS225" s="9302"/>
      <c r="DT225" s="9303"/>
      <c r="DU225" s="9304"/>
      <c r="DV225" s="9305"/>
      <c r="DW225" s="9306"/>
      <c r="DX225" s="9307"/>
      <c r="DY225" s="9308"/>
      <c r="DZ225" s="9309"/>
      <c r="EA225" s="9310"/>
      <c r="EB225" s="9311"/>
      <c r="EC225" s="9312"/>
      <c r="ED225" s="9313"/>
      <c r="EE225" s="9314"/>
      <c r="EF225" s="9315"/>
      <c r="EG225" s="9316"/>
      <c r="EH225" s="9317"/>
      <c r="EI225" s="9318"/>
      <c r="EJ225" s="9319"/>
      <c r="EK225" s="9320"/>
      <c r="EL225" s="9321"/>
      <c r="EM225" s="15283"/>
      <c r="EN225" s="15284"/>
      <c r="EO225" s="15285"/>
      <c r="EP225" s="15286"/>
      <c r="EQ225" s="15287"/>
      <c r="ER225" s="15288"/>
      <c r="ES225" s="15289"/>
      <c r="ET225" s="15290"/>
      <c r="EU225" s="15291"/>
      <c r="EV225" s="15292"/>
      <c r="EW225" s="15293"/>
      <c r="EX225" s="9322"/>
      <c r="EY225" s="9323"/>
      <c r="EZ225" s="2199"/>
      <c r="FA225" s="2512"/>
      <c r="FB225" s="2512" t="str">
        <f t="shared" si="3"/>
        <v>Добавить наименование признака дифференциации</v>
      </c>
      <c r="FC225" s="2512"/>
      <c r="FD225" s="2512"/>
    </row>
    <row r="226" spans="1:160" s="15294" customFormat="1" ht="14.25" customHeight="1">
      <c r="A226" s="3283"/>
      <c r="B226" s="3283"/>
      <c r="C226" s="3283"/>
      <c r="D226" s="3283"/>
      <c r="E226" s="16125"/>
      <c r="F226" s="16124" t="s">
        <v>117</v>
      </c>
      <c r="G226" s="3283"/>
      <c r="H226" s="3283"/>
      <c r="I226" s="3283"/>
      <c r="J226" s="3283"/>
      <c r="K226" s="3283"/>
      <c r="L226" s="3284"/>
      <c r="M226" s="3285"/>
      <c r="N226" s="3285"/>
      <c r="O226" s="2199"/>
      <c r="P226" s="3286"/>
      <c r="Q226" s="3287"/>
      <c r="R226" s="3286"/>
      <c r="S226" s="3288"/>
      <c r="T226" s="3289" t="s">
        <v>290</v>
      </c>
      <c r="U226" s="2192"/>
      <c r="V226" s="2192"/>
      <c r="W226" s="2192"/>
      <c r="X226" s="2192"/>
      <c r="Y226" s="2192"/>
      <c r="Z226" s="2192"/>
      <c r="AA226" s="2192"/>
      <c r="AB226" s="2192"/>
      <c r="AC226" s="2192"/>
      <c r="AD226" s="2192"/>
      <c r="AE226" s="2192"/>
      <c r="AF226" s="2192"/>
      <c r="AG226" s="2192"/>
      <c r="AH226" s="2192"/>
      <c r="AI226" s="2192"/>
      <c r="AJ226" s="2192"/>
      <c r="AK226" s="2192"/>
      <c r="AL226" s="2192"/>
      <c r="AM226" s="2192"/>
      <c r="AN226" s="2192"/>
      <c r="AO226" s="2192"/>
      <c r="AP226" s="2192"/>
      <c r="AQ226" s="2192"/>
      <c r="AR226" s="2192"/>
      <c r="AS226" s="2192"/>
      <c r="AT226" s="2192"/>
      <c r="AU226" s="2192"/>
      <c r="AV226" s="2192"/>
      <c r="AW226" s="2192"/>
      <c r="AX226" s="2192"/>
      <c r="AY226" s="2192"/>
      <c r="AZ226" s="2192"/>
      <c r="BA226" s="2192"/>
      <c r="BB226" s="2192"/>
      <c r="BC226" s="2192"/>
      <c r="BD226" s="2192"/>
      <c r="BE226" s="2192"/>
      <c r="BF226" s="2192"/>
      <c r="BG226" s="2192"/>
      <c r="BH226" s="2192"/>
      <c r="BI226" s="2192"/>
      <c r="BJ226" s="2192"/>
      <c r="BK226" s="2192"/>
      <c r="BL226" s="2192"/>
      <c r="BM226" s="2192"/>
      <c r="BN226" s="2192"/>
      <c r="BO226" s="2192"/>
      <c r="BP226" s="2192"/>
      <c r="BQ226" s="2192"/>
      <c r="BR226" s="2192"/>
      <c r="BS226" s="2192"/>
      <c r="BT226" s="2192"/>
      <c r="BU226" s="2192"/>
      <c r="BV226" s="2192"/>
      <c r="BW226" s="2192"/>
      <c r="BX226" s="2192"/>
      <c r="BY226" s="2192"/>
      <c r="BZ226" s="2192"/>
      <c r="CA226" s="2192"/>
      <c r="CB226" s="2192"/>
      <c r="CC226" s="2192"/>
      <c r="CD226" s="2192"/>
      <c r="CE226" s="2192"/>
      <c r="CF226" s="2192"/>
      <c r="CG226" s="2192"/>
      <c r="CH226" s="2192"/>
      <c r="CI226" s="2192"/>
      <c r="CJ226" s="2192"/>
      <c r="CK226" s="2192"/>
      <c r="CL226" s="2192"/>
      <c r="CM226" s="2192"/>
      <c r="CN226" s="2192"/>
      <c r="CO226" s="2192"/>
      <c r="CP226" s="2192"/>
      <c r="CQ226" s="2192"/>
      <c r="CR226" s="2192"/>
      <c r="CS226" s="2192"/>
      <c r="CT226" s="2192"/>
      <c r="CU226" s="2192"/>
      <c r="CV226" s="2192"/>
      <c r="CW226" s="2192"/>
      <c r="CX226" s="2192"/>
      <c r="CY226" s="2192"/>
      <c r="CZ226" s="2192"/>
      <c r="DA226" s="2192"/>
      <c r="DB226" s="2192"/>
      <c r="DC226" s="2192"/>
      <c r="DD226" s="2192"/>
      <c r="DE226" s="2192"/>
      <c r="DF226" s="2192"/>
      <c r="DG226" s="2192"/>
      <c r="DH226" s="2192"/>
      <c r="DI226" s="2192"/>
      <c r="DJ226" s="2192"/>
      <c r="DK226" s="2192"/>
      <c r="DL226" s="2192"/>
      <c r="DM226" s="2192"/>
      <c r="DN226" s="2192"/>
      <c r="DO226" s="2192"/>
      <c r="DP226" s="2192"/>
      <c r="DQ226" s="2192"/>
      <c r="DR226" s="2192"/>
      <c r="DS226" s="2192"/>
      <c r="DT226" s="2192"/>
      <c r="DU226" s="2192"/>
      <c r="DV226" s="2192"/>
      <c r="DW226" s="2192"/>
      <c r="DX226" s="2192"/>
      <c r="DY226" s="2192"/>
      <c r="DZ226" s="2192"/>
      <c r="EA226" s="2192"/>
      <c r="EB226" s="2192"/>
      <c r="EC226" s="2192"/>
      <c r="ED226" s="2192"/>
      <c r="EE226" s="2192"/>
      <c r="EF226" s="2192"/>
      <c r="EG226" s="2192"/>
      <c r="EH226" s="2192"/>
      <c r="EI226" s="2192"/>
      <c r="EJ226" s="2192"/>
      <c r="EK226" s="2192"/>
      <c r="EL226" s="2192"/>
      <c r="EM226" s="14483"/>
      <c r="EN226" s="14483"/>
      <c r="EO226" s="14483"/>
      <c r="EP226" s="14483"/>
      <c r="EQ226" s="14483"/>
      <c r="ER226" s="14483"/>
      <c r="ES226" s="14483"/>
      <c r="ET226" s="14483"/>
      <c r="EU226" s="14483"/>
      <c r="EV226" s="14483"/>
      <c r="EW226" s="14483"/>
      <c r="EX226" s="2192"/>
      <c r="EY226" s="2192"/>
      <c r="EZ226" s="2199"/>
      <c r="FA226" s="2512"/>
      <c r="FB226" s="2512" t="str">
        <f t="shared" si="3"/>
        <v>Добавить централизованную систему для дифференциации</v>
      </c>
      <c r="FC226" s="2512"/>
      <c r="FD226" s="2512"/>
    </row>
    <row r="227" spans="1:160" s="15295" customFormat="1" ht="23.25" customHeight="1">
      <c r="A227" s="2502"/>
      <c r="B227" s="2502" t="s">
        <v>350</v>
      </c>
      <c r="C227" s="2502"/>
      <c r="D227" s="2502"/>
      <c r="E227" s="16125"/>
      <c r="F227" s="16124" t="s">
        <v>92</v>
      </c>
      <c r="G227" s="2502"/>
      <c r="H227" s="2502"/>
      <c r="I227" s="2502"/>
      <c r="J227" s="2502"/>
      <c r="K227" s="2502"/>
      <c r="L227" s="2503"/>
      <c r="M227" s="2504"/>
      <c r="N227" s="2504"/>
      <c r="O227" s="2504"/>
      <c r="P227" s="2904"/>
      <c r="Q227" s="2506"/>
      <c r="R227" s="2507"/>
      <c r="S227" s="2508" t="str">
        <f>INDEX(PT_DIFFERENTIATION_NUM_TER,MATCH(B227,PT_DIFFERENTIATION_TER_ID,0))</f>
        <v>2.7</v>
      </c>
      <c r="T227" s="2905" t="s">
        <v>534</v>
      </c>
      <c r="U227" s="2510"/>
      <c r="V227" s="16110"/>
      <c r="W227" s="16111"/>
      <c r="X227" s="16111"/>
      <c r="Y227" s="16111"/>
      <c r="Z227" s="16111"/>
      <c r="AA227" s="16111"/>
      <c r="AB227" s="16111"/>
      <c r="AC227" s="16111"/>
      <c r="AD227" s="16111"/>
      <c r="AE227" s="16111"/>
      <c r="AF227" s="16112"/>
      <c r="AG227" s="16110" t="str">
        <f>INDEX(PT_DIFFERENTIATION_TER,MATCH(B227,PT_DIFFERENTIATION_TER_ID,0))</f>
        <v>Территория 7</v>
      </c>
      <c r="AH227" s="16111"/>
      <c r="AI227" s="16111"/>
      <c r="AJ227" s="16111"/>
      <c r="AK227" s="16111"/>
      <c r="AL227" s="16111"/>
      <c r="AM227" s="16111"/>
      <c r="AN227" s="16111"/>
      <c r="AO227" s="16111"/>
      <c r="AP227" s="16111"/>
      <c r="AQ227" s="16111"/>
      <c r="AR227" s="16110"/>
      <c r="AS227" s="16111"/>
      <c r="AT227" s="16111"/>
      <c r="AU227" s="16111"/>
      <c r="AV227" s="16111"/>
      <c r="AW227" s="16111"/>
      <c r="AX227" s="16111"/>
      <c r="AY227" s="16111"/>
      <c r="AZ227" s="16111"/>
      <c r="BA227" s="16111"/>
      <c r="BB227" s="16112"/>
      <c r="BC227" s="16110"/>
      <c r="BD227" s="16111"/>
      <c r="BE227" s="16111"/>
      <c r="BF227" s="16111"/>
      <c r="BG227" s="16111"/>
      <c r="BH227" s="16111"/>
      <c r="BI227" s="16111"/>
      <c r="BJ227" s="16111"/>
      <c r="BK227" s="16111"/>
      <c r="BL227" s="16111"/>
      <c r="BM227" s="16112"/>
      <c r="BN227" s="16110"/>
      <c r="BO227" s="16111"/>
      <c r="BP227" s="16111"/>
      <c r="BQ227" s="16111"/>
      <c r="BR227" s="16111"/>
      <c r="BS227" s="16111"/>
      <c r="BT227" s="16111"/>
      <c r="BU227" s="16111"/>
      <c r="BV227" s="16111"/>
      <c r="BW227" s="16111"/>
      <c r="BX227" s="16112"/>
      <c r="BY227" s="16110"/>
      <c r="BZ227" s="16111"/>
      <c r="CA227" s="16111"/>
      <c r="CB227" s="16111"/>
      <c r="CC227" s="16111"/>
      <c r="CD227" s="16111"/>
      <c r="CE227" s="16111"/>
      <c r="CF227" s="16111"/>
      <c r="CG227" s="16111"/>
      <c r="CH227" s="16111"/>
      <c r="CI227" s="16112"/>
      <c r="CJ227" s="16110"/>
      <c r="CK227" s="16111"/>
      <c r="CL227" s="16111"/>
      <c r="CM227" s="16111"/>
      <c r="CN227" s="16111"/>
      <c r="CO227" s="16111"/>
      <c r="CP227" s="16111"/>
      <c r="CQ227" s="16111"/>
      <c r="CR227" s="16111"/>
      <c r="CS227" s="16111"/>
      <c r="CT227" s="16112"/>
      <c r="CU227" s="16110"/>
      <c r="CV227" s="16111"/>
      <c r="CW227" s="16111"/>
      <c r="CX227" s="16111"/>
      <c r="CY227" s="16111"/>
      <c r="CZ227" s="16111"/>
      <c r="DA227" s="16111"/>
      <c r="DB227" s="16111"/>
      <c r="DC227" s="16111"/>
      <c r="DD227" s="16111"/>
      <c r="DE227" s="16112"/>
      <c r="DF227" s="16110"/>
      <c r="DG227" s="16111"/>
      <c r="DH227" s="16111"/>
      <c r="DI227" s="16111"/>
      <c r="DJ227" s="16111"/>
      <c r="DK227" s="16111"/>
      <c r="DL227" s="16111"/>
      <c r="DM227" s="16111"/>
      <c r="DN227" s="16111"/>
      <c r="DO227" s="16111"/>
      <c r="DP227" s="16112"/>
      <c r="DQ227" s="16110"/>
      <c r="DR227" s="16111"/>
      <c r="DS227" s="16111"/>
      <c r="DT227" s="16111"/>
      <c r="DU227" s="16111"/>
      <c r="DV227" s="16111"/>
      <c r="DW227" s="16111"/>
      <c r="DX227" s="16111"/>
      <c r="DY227" s="16111"/>
      <c r="DZ227" s="16111"/>
      <c r="EA227" s="16112"/>
      <c r="EB227" s="16110"/>
      <c r="EC227" s="16111"/>
      <c r="ED227" s="16111"/>
      <c r="EE227" s="16111"/>
      <c r="EF227" s="16111"/>
      <c r="EG227" s="16111"/>
      <c r="EH227" s="16111"/>
      <c r="EI227" s="16111"/>
      <c r="EJ227" s="16111"/>
      <c r="EK227" s="16111"/>
      <c r="EL227" s="16112"/>
      <c r="EM227" s="16110"/>
      <c r="EN227" s="16111"/>
      <c r="EO227" s="16111"/>
      <c r="EP227" s="16111"/>
      <c r="EQ227" s="16111"/>
      <c r="ER227" s="16111"/>
      <c r="ES227" s="16111"/>
      <c r="ET227" s="16111"/>
      <c r="EU227" s="16111"/>
      <c r="EV227" s="16111"/>
      <c r="EW227" s="16112"/>
      <c r="EX227" s="16112"/>
      <c r="EY227" s="2511" t="s">
        <v>535</v>
      </c>
      <c r="EZ227" s="2199"/>
      <c r="FA227" s="2512"/>
      <c r="FB227" s="2512" t="str">
        <f t="shared" si="3"/>
        <v>Территория действия тарифа</v>
      </c>
      <c r="FC227" s="2512"/>
      <c r="FD227" s="2512"/>
    </row>
    <row r="228" spans="1:160" s="15296" customFormat="1" ht="23.25" customHeight="1">
      <c r="A228" s="2502"/>
      <c r="B228" s="2502"/>
      <c r="C228" s="2502" t="s">
        <v>351</v>
      </c>
      <c r="D228" s="2502"/>
      <c r="E228" s="16125"/>
      <c r="F228" s="16125" t="s">
        <v>91</v>
      </c>
      <c r="G228" s="16124">
        <v>1</v>
      </c>
      <c r="H228" s="2502"/>
      <c r="I228" s="2502"/>
      <c r="J228" s="2502"/>
      <c r="K228" s="2502"/>
      <c r="L228" s="2503"/>
      <c r="M228" s="2504"/>
      <c r="N228" s="2504"/>
      <c r="O228" s="2504"/>
      <c r="P228" s="2505"/>
      <c r="Q228" s="2506"/>
      <c r="R228" s="2507"/>
      <c r="S228" s="2508" t="str">
        <f>INDEX(PT_DIFFERENTIATION_NUM_CS,MATCH(C228,PT_DIFFERENTIATION_CS_ID,0))</f>
        <v>2.7.1</v>
      </c>
      <c r="T228" s="2509" t="s">
        <v>665</v>
      </c>
      <c r="U228" s="2510"/>
      <c r="V228" s="16110"/>
      <c r="W228" s="16111"/>
      <c r="X228" s="16111"/>
      <c r="Y228" s="16111"/>
      <c r="Z228" s="16111"/>
      <c r="AA228" s="16111"/>
      <c r="AB228" s="16111"/>
      <c r="AC228" s="16111"/>
      <c r="AD228" s="16111"/>
      <c r="AE228" s="16111"/>
      <c r="AF228" s="16112"/>
      <c r="AG228" s="16110" t="str">
        <f>INDEX(PT_DIFFERENTIATION_CS,MATCH(C228,PT_DIFFERENTIATION_CS_ID,0))</f>
        <v>без дифференциации</v>
      </c>
      <c r="AH228" s="16111"/>
      <c r="AI228" s="16111"/>
      <c r="AJ228" s="16111"/>
      <c r="AK228" s="16111"/>
      <c r="AL228" s="16111"/>
      <c r="AM228" s="16111"/>
      <c r="AN228" s="16111"/>
      <c r="AO228" s="16111"/>
      <c r="AP228" s="16111"/>
      <c r="AQ228" s="16111"/>
      <c r="AR228" s="16110"/>
      <c r="AS228" s="16111"/>
      <c r="AT228" s="16111"/>
      <c r="AU228" s="16111"/>
      <c r="AV228" s="16111"/>
      <c r="AW228" s="16111"/>
      <c r="AX228" s="16111"/>
      <c r="AY228" s="16111"/>
      <c r="AZ228" s="16111"/>
      <c r="BA228" s="16111"/>
      <c r="BB228" s="16112"/>
      <c r="BC228" s="16110"/>
      <c r="BD228" s="16111"/>
      <c r="BE228" s="16111"/>
      <c r="BF228" s="16111"/>
      <c r="BG228" s="16111"/>
      <c r="BH228" s="16111"/>
      <c r="BI228" s="16111"/>
      <c r="BJ228" s="16111"/>
      <c r="BK228" s="16111"/>
      <c r="BL228" s="16111"/>
      <c r="BM228" s="16112"/>
      <c r="BN228" s="16110"/>
      <c r="BO228" s="16111"/>
      <c r="BP228" s="16111"/>
      <c r="BQ228" s="16111"/>
      <c r="BR228" s="16111"/>
      <c r="BS228" s="16111"/>
      <c r="BT228" s="16111"/>
      <c r="BU228" s="16111"/>
      <c r="BV228" s="16111"/>
      <c r="BW228" s="16111"/>
      <c r="BX228" s="16112"/>
      <c r="BY228" s="16110"/>
      <c r="BZ228" s="16111"/>
      <c r="CA228" s="16111"/>
      <c r="CB228" s="16111"/>
      <c r="CC228" s="16111"/>
      <c r="CD228" s="16111"/>
      <c r="CE228" s="16111"/>
      <c r="CF228" s="16111"/>
      <c r="CG228" s="16111"/>
      <c r="CH228" s="16111"/>
      <c r="CI228" s="16112"/>
      <c r="CJ228" s="16110"/>
      <c r="CK228" s="16111"/>
      <c r="CL228" s="16111"/>
      <c r="CM228" s="16111"/>
      <c r="CN228" s="16111"/>
      <c r="CO228" s="16111"/>
      <c r="CP228" s="16111"/>
      <c r="CQ228" s="16111"/>
      <c r="CR228" s="16111"/>
      <c r="CS228" s="16111"/>
      <c r="CT228" s="16112"/>
      <c r="CU228" s="16110"/>
      <c r="CV228" s="16111"/>
      <c r="CW228" s="16111"/>
      <c r="CX228" s="16111"/>
      <c r="CY228" s="16111"/>
      <c r="CZ228" s="16111"/>
      <c r="DA228" s="16111"/>
      <c r="DB228" s="16111"/>
      <c r="DC228" s="16111"/>
      <c r="DD228" s="16111"/>
      <c r="DE228" s="16112"/>
      <c r="DF228" s="16110"/>
      <c r="DG228" s="16111"/>
      <c r="DH228" s="16111"/>
      <c r="DI228" s="16111"/>
      <c r="DJ228" s="16111"/>
      <c r="DK228" s="16111"/>
      <c r="DL228" s="16111"/>
      <c r="DM228" s="16111"/>
      <c r="DN228" s="16111"/>
      <c r="DO228" s="16111"/>
      <c r="DP228" s="16112"/>
      <c r="DQ228" s="16110"/>
      <c r="DR228" s="16111"/>
      <c r="DS228" s="16111"/>
      <c r="DT228" s="16111"/>
      <c r="DU228" s="16111"/>
      <c r="DV228" s="16111"/>
      <c r="DW228" s="16111"/>
      <c r="DX228" s="16111"/>
      <c r="DY228" s="16111"/>
      <c r="DZ228" s="16111"/>
      <c r="EA228" s="16112"/>
      <c r="EB228" s="16110"/>
      <c r="EC228" s="16111"/>
      <c r="ED228" s="16111"/>
      <c r="EE228" s="16111"/>
      <c r="EF228" s="16111"/>
      <c r="EG228" s="16111"/>
      <c r="EH228" s="16111"/>
      <c r="EI228" s="16111"/>
      <c r="EJ228" s="16111"/>
      <c r="EK228" s="16111"/>
      <c r="EL228" s="16112"/>
      <c r="EM228" s="16110"/>
      <c r="EN228" s="16111"/>
      <c r="EO228" s="16111"/>
      <c r="EP228" s="16111"/>
      <c r="EQ228" s="16111"/>
      <c r="ER228" s="16111"/>
      <c r="ES228" s="16111"/>
      <c r="ET228" s="16111"/>
      <c r="EU228" s="16111"/>
      <c r="EV228" s="16111"/>
      <c r="EW228" s="16112"/>
      <c r="EX228" s="16112"/>
      <c r="EY228" s="2511" t="s">
        <v>666</v>
      </c>
      <c r="EZ228" s="2199"/>
      <c r="FA228" s="2512"/>
      <c r="FB228" s="2512" t="str">
        <f t="shared" si="3"/>
        <v>Наименование централизованной системы горячего водоснабжения</v>
      </c>
      <c r="FC228" s="2512"/>
      <c r="FD228" s="2512"/>
    </row>
    <row r="229" spans="1:160" s="15297" customFormat="1" ht="23.25" customHeight="1">
      <c r="A229" s="2502"/>
      <c r="B229" s="2502"/>
      <c r="C229" s="2502"/>
      <c r="D229" s="2502"/>
      <c r="E229" s="16125"/>
      <c r="F229" s="16125" t="s">
        <v>91</v>
      </c>
      <c r="G229" s="16125"/>
      <c r="H229" s="16125"/>
      <c r="I229" s="16122" t="str">
        <f>S228&amp;".1"</f>
        <v>2.7.1.1</v>
      </c>
      <c r="J229" s="2502"/>
      <c r="K229" s="2502"/>
      <c r="L229" s="2503"/>
      <c r="M229" s="2513"/>
      <c r="N229" s="2513"/>
      <c r="O229" s="2513"/>
      <c r="P229" s="16123">
        <v>1</v>
      </c>
      <c r="Q229" s="2514"/>
      <c r="R229" s="2515"/>
      <c r="S229" s="2508" t="str">
        <f>$I229</f>
        <v>2.7.1.1</v>
      </c>
      <c r="T229" s="2516" t="s">
        <v>618</v>
      </c>
      <c r="U229" s="2510"/>
      <c r="V229" s="16183"/>
      <c r="W229" s="16184"/>
      <c r="X229" s="16184"/>
      <c r="Y229" s="16184"/>
      <c r="Z229" s="16184"/>
      <c r="AA229" s="16184"/>
      <c r="AB229" s="16184"/>
      <c r="AC229" s="16184"/>
      <c r="AD229" s="16184"/>
      <c r="AE229" s="16184"/>
      <c r="AF229" s="16185"/>
      <c r="AG229" s="16186"/>
      <c r="AH229" s="16187"/>
      <c r="AI229" s="16187"/>
      <c r="AJ229" s="16187"/>
      <c r="AK229" s="16187"/>
      <c r="AL229" s="16187"/>
      <c r="AM229" s="16187"/>
      <c r="AN229" s="16187"/>
      <c r="AO229" s="16187"/>
      <c r="AP229" s="16187"/>
      <c r="AQ229" s="16187"/>
      <c r="AR229" s="16183"/>
      <c r="AS229" s="16184"/>
      <c r="AT229" s="16184"/>
      <c r="AU229" s="16184"/>
      <c r="AV229" s="16184"/>
      <c r="AW229" s="16184"/>
      <c r="AX229" s="16184"/>
      <c r="AY229" s="16184"/>
      <c r="AZ229" s="16184"/>
      <c r="BA229" s="16184"/>
      <c r="BB229" s="16185"/>
      <c r="BC229" s="16183"/>
      <c r="BD229" s="16184"/>
      <c r="BE229" s="16184"/>
      <c r="BF229" s="16184"/>
      <c r="BG229" s="16184"/>
      <c r="BH229" s="16184"/>
      <c r="BI229" s="16184"/>
      <c r="BJ229" s="16184"/>
      <c r="BK229" s="16184"/>
      <c r="BL229" s="16184"/>
      <c r="BM229" s="16185"/>
      <c r="BN229" s="16183"/>
      <c r="BO229" s="16184"/>
      <c r="BP229" s="16184"/>
      <c r="BQ229" s="16184"/>
      <c r="BR229" s="16184"/>
      <c r="BS229" s="16184"/>
      <c r="BT229" s="16184"/>
      <c r="BU229" s="16184"/>
      <c r="BV229" s="16184"/>
      <c r="BW229" s="16184"/>
      <c r="BX229" s="16185"/>
      <c r="BY229" s="16183"/>
      <c r="BZ229" s="16184"/>
      <c r="CA229" s="16184"/>
      <c r="CB229" s="16184"/>
      <c r="CC229" s="16184"/>
      <c r="CD229" s="16184"/>
      <c r="CE229" s="16184"/>
      <c r="CF229" s="16184"/>
      <c r="CG229" s="16184"/>
      <c r="CH229" s="16184"/>
      <c r="CI229" s="16185"/>
      <c r="CJ229" s="16183"/>
      <c r="CK229" s="16184"/>
      <c r="CL229" s="16184"/>
      <c r="CM229" s="16184"/>
      <c r="CN229" s="16184"/>
      <c r="CO229" s="16184"/>
      <c r="CP229" s="16184"/>
      <c r="CQ229" s="16184"/>
      <c r="CR229" s="16184"/>
      <c r="CS229" s="16184"/>
      <c r="CT229" s="16185"/>
      <c r="CU229" s="16183"/>
      <c r="CV229" s="16184"/>
      <c r="CW229" s="16184"/>
      <c r="CX229" s="16184"/>
      <c r="CY229" s="16184"/>
      <c r="CZ229" s="16184"/>
      <c r="DA229" s="16184"/>
      <c r="DB229" s="16184"/>
      <c r="DC229" s="16184"/>
      <c r="DD229" s="16184"/>
      <c r="DE229" s="16185"/>
      <c r="DF229" s="16183"/>
      <c r="DG229" s="16184"/>
      <c r="DH229" s="16184"/>
      <c r="DI229" s="16184"/>
      <c r="DJ229" s="16184"/>
      <c r="DK229" s="16184"/>
      <c r="DL229" s="16184"/>
      <c r="DM229" s="16184"/>
      <c r="DN229" s="16184"/>
      <c r="DO229" s="16184"/>
      <c r="DP229" s="16185"/>
      <c r="DQ229" s="16183"/>
      <c r="DR229" s="16184"/>
      <c r="DS229" s="16184"/>
      <c r="DT229" s="16184"/>
      <c r="DU229" s="16184"/>
      <c r="DV229" s="16184"/>
      <c r="DW229" s="16184"/>
      <c r="DX229" s="16184"/>
      <c r="DY229" s="16184"/>
      <c r="DZ229" s="16184"/>
      <c r="EA229" s="16185"/>
      <c r="EB229" s="16183"/>
      <c r="EC229" s="16184"/>
      <c r="ED229" s="16184"/>
      <c r="EE229" s="16184"/>
      <c r="EF229" s="16184"/>
      <c r="EG229" s="16184"/>
      <c r="EH229" s="16184"/>
      <c r="EI229" s="16184"/>
      <c r="EJ229" s="16184"/>
      <c r="EK229" s="16184"/>
      <c r="EL229" s="16185"/>
      <c r="EM229" s="16183"/>
      <c r="EN229" s="16184"/>
      <c r="EO229" s="16184"/>
      <c r="EP229" s="16184"/>
      <c r="EQ229" s="16184"/>
      <c r="ER229" s="16184"/>
      <c r="ES229" s="16184"/>
      <c r="ET229" s="16184"/>
      <c r="EU229" s="16184"/>
      <c r="EV229" s="16184"/>
      <c r="EW229" s="16185"/>
      <c r="EX229" s="16188"/>
      <c r="EY229" s="2511" t="s">
        <v>619</v>
      </c>
      <c r="EZ229" s="2199"/>
      <c r="FA229" s="2512"/>
      <c r="FB229" s="2512" t="str">
        <f t="shared" si="3"/>
        <v>Наименование признака дифференциации</v>
      </c>
      <c r="FC229" s="2512"/>
      <c r="FD229" s="2512"/>
    </row>
    <row r="230" spans="1:160" s="15298" customFormat="1" ht="23.25" customHeight="1">
      <c r="A230" s="2502"/>
      <c r="B230" s="2502"/>
      <c r="C230" s="2502"/>
      <c r="D230" s="2502"/>
      <c r="E230" s="16125"/>
      <c r="F230" s="16125" t="s">
        <v>91</v>
      </c>
      <c r="G230" s="16125"/>
      <c r="H230" s="16125"/>
      <c r="I230" s="16145"/>
      <c r="J230" s="16122" t="str">
        <f>I229&amp;".1"</f>
        <v>2.7.1.1.1</v>
      </c>
      <c r="K230" s="2502"/>
      <c r="L230" s="2503" t="s">
        <v>543</v>
      </c>
      <c r="M230" s="2513"/>
      <c r="N230" s="2513"/>
      <c r="O230" s="2513"/>
      <c r="P230" s="16123"/>
      <c r="Q230" s="16123">
        <v>1</v>
      </c>
      <c r="R230" s="2517"/>
      <c r="S230" s="2508" t="str">
        <f>$J230</f>
        <v>2.7.1.1.1</v>
      </c>
      <c r="T230" s="2518" t="s">
        <v>544</v>
      </c>
      <c r="U230" s="2510"/>
      <c r="V230" s="16113"/>
      <c r="W230" s="16114"/>
      <c r="X230" s="16114"/>
      <c r="Y230" s="16114"/>
      <c r="Z230" s="16114"/>
      <c r="AA230" s="16114"/>
      <c r="AB230" s="16114"/>
      <c r="AC230" s="16114"/>
      <c r="AD230" s="16114"/>
      <c r="AE230" s="16114"/>
      <c r="AF230" s="16115"/>
      <c r="AG230" s="16113" t="s">
        <v>679</v>
      </c>
      <c r="AH230" s="16114"/>
      <c r="AI230" s="16114"/>
      <c r="AJ230" s="16114"/>
      <c r="AK230" s="16114"/>
      <c r="AL230" s="16114"/>
      <c r="AM230" s="16114"/>
      <c r="AN230" s="16114"/>
      <c r="AO230" s="16114"/>
      <c r="AP230" s="16114"/>
      <c r="AQ230" s="16114"/>
      <c r="AR230" s="16113"/>
      <c r="AS230" s="16114"/>
      <c r="AT230" s="16114"/>
      <c r="AU230" s="16114"/>
      <c r="AV230" s="16114"/>
      <c r="AW230" s="16114"/>
      <c r="AX230" s="16114"/>
      <c r="AY230" s="16114"/>
      <c r="AZ230" s="16114"/>
      <c r="BA230" s="16114"/>
      <c r="BB230" s="16115"/>
      <c r="BC230" s="16113"/>
      <c r="BD230" s="16114"/>
      <c r="BE230" s="16114"/>
      <c r="BF230" s="16114"/>
      <c r="BG230" s="16114"/>
      <c r="BH230" s="16114"/>
      <c r="BI230" s="16114"/>
      <c r="BJ230" s="16114"/>
      <c r="BK230" s="16114"/>
      <c r="BL230" s="16114"/>
      <c r="BM230" s="16115"/>
      <c r="BN230" s="16113"/>
      <c r="BO230" s="16114"/>
      <c r="BP230" s="16114"/>
      <c r="BQ230" s="16114"/>
      <c r="BR230" s="16114"/>
      <c r="BS230" s="16114"/>
      <c r="BT230" s="16114"/>
      <c r="BU230" s="16114"/>
      <c r="BV230" s="16114"/>
      <c r="BW230" s="16114"/>
      <c r="BX230" s="16115"/>
      <c r="BY230" s="16113"/>
      <c r="BZ230" s="16114"/>
      <c r="CA230" s="16114"/>
      <c r="CB230" s="16114"/>
      <c r="CC230" s="16114"/>
      <c r="CD230" s="16114"/>
      <c r="CE230" s="16114"/>
      <c r="CF230" s="16114"/>
      <c r="CG230" s="16114"/>
      <c r="CH230" s="16114"/>
      <c r="CI230" s="16115"/>
      <c r="CJ230" s="16113"/>
      <c r="CK230" s="16114"/>
      <c r="CL230" s="16114"/>
      <c r="CM230" s="16114"/>
      <c r="CN230" s="16114"/>
      <c r="CO230" s="16114"/>
      <c r="CP230" s="16114"/>
      <c r="CQ230" s="16114"/>
      <c r="CR230" s="16114"/>
      <c r="CS230" s="16114"/>
      <c r="CT230" s="16115"/>
      <c r="CU230" s="16113"/>
      <c r="CV230" s="16114"/>
      <c r="CW230" s="16114"/>
      <c r="CX230" s="16114"/>
      <c r="CY230" s="16114"/>
      <c r="CZ230" s="16114"/>
      <c r="DA230" s="16114"/>
      <c r="DB230" s="16114"/>
      <c r="DC230" s="16114"/>
      <c r="DD230" s="16114"/>
      <c r="DE230" s="16115"/>
      <c r="DF230" s="16113"/>
      <c r="DG230" s="16114"/>
      <c r="DH230" s="16114"/>
      <c r="DI230" s="16114"/>
      <c r="DJ230" s="16114"/>
      <c r="DK230" s="16114"/>
      <c r="DL230" s="16114"/>
      <c r="DM230" s="16114"/>
      <c r="DN230" s="16114"/>
      <c r="DO230" s="16114"/>
      <c r="DP230" s="16115"/>
      <c r="DQ230" s="16113"/>
      <c r="DR230" s="16114"/>
      <c r="DS230" s="16114"/>
      <c r="DT230" s="16114"/>
      <c r="DU230" s="16114"/>
      <c r="DV230" s="16114"/>
      <c r="DW230" s="16114"/>
      <c r="DX230" s="16114"/>
      <c r="DY230" s="16114"/>
      <c r="DZ230" s="16114"/>
      <c r="EA230" s="16115"/>
      <c r="EB230" s="16113"/>
      <c r="EC230" s="16114"/>
      <c r="ED230" s="16114"/>
      <c r="EE230" s="16114"/>
      <c r="EF230" s="16114"/>
      <c r="EG230" s="16114"/>
      <c r="EH230" s="16114"/>
      <c r="EI230" s="16114"/>
      <c r="EJ230" s="16114"/>
      <c r="EK230" s="16114"/>
      <c r="EL230" s="16115"/>
      <c r="EM230" s="16113"/>
      <c r="EN230" s="16114"/>
      <c r="EO230" s="16114"/>
      <c r="EP230" s="16114"/>
      <c r="EQ230" s="16114"/>
      <c r="ER230" s="16114"/>
      <c r="ES230" s="16114"/>
      <c r="ET230" s="16114"/>
      <c r="EU230" s="16114"/>
      <c r="EV230" s="16114"/>
      <c r="EW230" s="16115"/>
      <c r="EX230" s="16115"/>
      <c r="EY230" s="2519" t="s">
        <v>620</v>
      </c>
      <c r="EZ230" s="2199"/>
      <c r="FA230" s="2512"/>
      <c r="FB230" s="2512" t="str">
        <f t="shared" si="3"/>
        <v>Группа потребителей</v>
      </c>
      <c r="FC230" s="2512"/>
      <c r="FD230" s="2512"/>
    </row>
    <row r="231" spans="1:160" s="15299" customFormat="1" ht="23.25" customHeight="1">
      <c r="A231" s="2502"/>
      <c r="B231" s="2502"/>
      <c r="C231" s="2502"/>
      <c r="D231" s="2502"/>
      <c r="E231" s="16125"/>
      <c r="F231" s="16125" t="s">
        <v>91</v>
      </c>
      <c r="G231" s="16125"/>
      <c r="H231" s="16125"/>
      <c r="I231" s="16145"/>
      <c r="J231" s="16145"/>
      <c r="K231" s="16122" t="str">
        <f>J230&amp;".1"</f>
        <v>2.7.1.1.1.1</v>
      </c>
      <c r="L231" s="2503"/>
      <c r="M231" s="2513"/>
      <c r="N231" s="2513"/>
      <c r="O231" s="2513"/>
      <c r="P231" s="16123"/>
      <c r="Q231" s="16123"/>
      <c r="R231" s="2517">
        <v>1</v>
      </c>
      <c r="S231" s="2508" t="str">
        <f>$K231</f>
        <v>2.7.1.1.1.1</v>
      </c>
      <c r="T231" s="2520"/>
      <c r="U231" s="2510"/>
      <c r="V231" s="1893"/>
      <c r="W231" s="1893"/>
      <c r="X231" s="1893"/>
      <c r="Y231" s="1893"/>
      <c r="Z231" s="1893"/>
      <c r="AA231" s="1893"/>
      <c r="AB231" s="1893"/>
      <c r="AC231" s="16127"/>
      <c r="AD231" s="15973" t="s">
        <v>66</v>
      </c>
      <c r="AE231" s="16127"/>
      <c r="AF231" s="15973" t="s">
        <v>66</v>
      </c>
      <c r="AG231" s="1893">
        <v>43.01</v>
      </c>
      <c r="AH231" s="1893"/>
      <c r="AI231" s="1893"/>
      <c r="AJ231" s="1893"/>
      <c r="AK231" s="1893">
        <v>5367.18</v>
      </c>
      <c r="AL231" s="1893"/>
      <c r="AM231" s="1893"/>
      <c r="AN231" s="16127">
        <v>45292</v>
      </c>
      <c r="AO231" s="15973" t="s">
        <v>66</v>
      </c>
      <c r="AP231" s="16146">
        <v>45378</v>
      </c>
      <c r="AQ231" s="15973" t="s">
        <v>66</v>
      </c>
      <c r="AR231" s="1893">
        <v>43.01</v>
      </c>
      <c r="AS231" s="1893"/>
      <c r="AT231" s="1893"/>
      <c r="AU231" s="1893"/>
      <c r="AV231" s="1893">
        <v>5367.18</v>
      </c>
      <c r="AW231" s="1893"/>
      <c r="AX231" s="1893"/>
      <c r="AY231" s="16127">
        <v>45379</v>
      </c>
      <c r="AZ231" s="15973" t="s">
        <v>66</v>
      </c>
      <c r="BA231" s="16127">
        <v>45473</v>
      </c>
      <c r="BB231" s="15973" t="s">
        <v>66</v>
      </c>
      <c r="BC231" s="1893">
        <v>51.74</v>
      </c>
      <c r="BD231" s="1893"/>
      <c r="BE231" s="1893"/>
      <c r="BF231" s="1893"/>
      <c r="BG231" s="1893">
        <v>5655.37</v>
      </c>
      <c r="BH231" s="1893"/>
      <c r="BI231" s="1893"/>
      <c r="BJ231" s="16127">
        <v>45474</v>
      </c>
      <c r="BK231" s="15973" t="s">
        <v>66</v>
      </c>
      <c r="BL231" s="16127">
        <v>45657</v>
      </c>
      <c r="BM231" s="15973" t="s">
        <v>66</v>
      </c>
      <c r="BN231" s="1893">
        <v>48.75</v>
      </c>
      <c r="BO231" s="1893"/>
      <c r="BP231" s="1893"/>
      <c r="BQ231" s="1893"/>
      <c r="BR231" s="1893">
        <v>5407.73</v>
      </c>
      <c r="BS231" s="1893"/>
      <c r="BT231" s="1893"/>
      <c r="BU231" s="16127">
        <v>45658</v>
      </c>
      <c r="BV231" s="15973" t="s">
        <v>66</v>
      </c>
      <c r="BW231" s="16127">
        <v>45838</v>
      </c>
      <c r="BX231" s="15973" t="s">
        <v>66</v>
      </c>
      <c r="BY231" s="1893">
        <v>48.75</v>
      </c>
      <c r="BZ231" s="1893"/>
      <c r="CA231" s="1893"/>
      <c r="CB231" s="1893"/>
      <c r="CC231" s="1893">
        <v>5407.73</v>
      </c>
      <c r="CD231" s="1893"/>
      <c r="CE231" s="1893"/>
      <c r="CF231" s="16127">
        <v>45839</v>
      </c>
      <c r="CG231" s="15973" t="s">
        <v>66</v>
      </c>
      <c r="CH231" s="16127">
        <v>46022</v>
      </c>
      <c r="CI231" s="15973" t="s">
        <v>66</v>
      </c>
      <c r="CJ231" s="1893">
        <v>48.75</v>
      </c>
      <c r="CK231" s="1893"/>
      <c r="CL231" s="1893"/>
      <c r="CM231" s="1893"/>
      <c r="CN231" s="1893">
        <v>5407.73</v>
      </c>
      <c r="CO231" s="1893"/>
      <c r="CP231" s="1893"/>
      <c r="CQ231" s="16127">
        <v>46023</v>
      </c>
      <c r="CR231" s="15973" t="s">
        <v>66</v>
      </c>
      <c r="CS231" s="16127">
        <v>46203</v>
      </c>
      <c r="CT231" s="15973" t="s">
        <v>66</v>
      </c>
      <c r="CU231" s="1893">
        <v>51.7</v>
      </c>
      <c r="CV231" s="1893"/>
      <c r="CW231" s="1893"/>
      <c r="CX231" s="1893"/>
      <c r="CY231" s="1893">
        <v>5701.77</v>
      </c>
      <c r="CZ231" s="1893"/>
      <c r="DA231" s="1893"/>
      <c r="DB231" s="16127">
        <v>46204</v>
      </c>
      <c r="DC231" s="15973" t="s">
        <v>66</v>
      </c>
      <c r="DD231" s="16127">
        <v>46387</v>
      </c>
      <c r="DE231" s="15973" t="s">
        <v>66</v>
      </c>
      <c r="DF231" s="1893">
        <v>51.7</v>
      </c>
      <c r="DG231" s="1893"/>
      <c r="DH231" s="1893"/>
      <c r="DI231" s="1893"/>
      <c r="DJ231" s="1893">
        <v>5674.41</v>
      </c>
      <c r="DK231" s="1893"/>
      <c r="DL231" s="1893"/>
      <c r="DM231" s="16127">
        <v>46388</v>
      </c>
      <c r="DN231" s="15973" t="s">
        <v>66</v>
      </c>
      <c r="DO231" s="16127">
        <v>46568</v>
      </c>
      <c r="DP231" s="15973" t="s">
        <v>66</v>
      </c>
      <c r="DQ231" s="1893">
        <v>53.77</v>
      </c>
      <c r="DR231" s="1893"/>
      <c r="DS231" s="1893"/>
      <c r="DT231" s="1893"/>
      <c r="DU231" s="1893">
        <v>5674.41</v>
      </c>
      <c r="DV231" s="1893"/>
      <c r="DW231" s="1893"/>
      <c r="DX231" s="16127">
        <v>46569</v>
      </c>
      <c r="DY231" s="15973" t="s">
        <v>66</v>
      </c>
      <c r="DZ231" s="16127">
        <v>46752</v>
      </c>
      <c r="EA231" s="15973" t="s">
        <v>66</v>
      </c>
      <c r="EB231" s="1893">
        <v>53.77</v>
      </c>
      <c r="EC231" s="1893"/>
      <c r="ED231" s="1893"/>
      <c r="EE231" s="1893"/>
      <c r="EF231" s="1893">
        <v>5674.41</v>
      </c>
      <c r="EG231" s="1893"/>
      <c r="EH231" s="1893"/>
      <c r="EI231" s="16127">
        <v>46753</v>
      </c>
      <c r="EJ231" s="15973" t="s">
        <v>66</v>
      </c>
      <c r="EK231" s="16127">
        <v>46934</v>
      </c>
      <c r="EL231" s="15973" t="s">
        <v>66</v>
      </c>
      <c r="EM231" s="14448">
        <v>55.92</v>
      </c>
      <c r="EN231" s="14448"/>
      <c r="EO231" s="14448"/>
      <c r="EP231" s="14448"/>
      <c r="EQ231" s="14448">
        <v>6012.81</v>
      </c>
      <c r="ER231" s="14448"/>
      <c r="ES231" s="14448"/>
      <c r="ET231" s="16127">
        <v>46935</v>
      </c>
      <c r="EU231" s="15973" t="s">
        <v>66</v>
      </c>
      <c r="EV231" s="16127">
        <v>47118</v>
      </c>
      <c r="EW231" s="15973" t="s">
        <v>66</v>
      </c>
      <c r="EX231" s="2521"/>
      <c r="EY23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31" s="2199" t="e">
        <f ca="1">STRCHECKDATE(V232:EX232)</f>
        <v>#NAME?</v>
      </c>
      <c r="FA231" s="2512"/>
      <c r="FB231" s="2512" t="str">
        <f t="shared" si="3"/>
        <v/>
      </c>
      <c r="FC231" s="2512"/>
      <c r="FD231" s="2512"/>
    </row>
    <row r="232" spans="1:160" s="15300" customFormat="1" ht="14.25" customHeight="1">
      <c r="A232" s="2502"/>
      <c r="B232" s="2502"/>
      <c r="C232" s="2502"/>
      <c r="D232" s="2502"/>
      <c r="E232" s="16125"/>
      <c r="F232" s="16125" t="s">
        <v>91</v>
      </c>
      <c r="G232" s="16125"/>
      <c r="H232" s="16125"/>
      <c r="I232" s="16145"/>
      <c r="J232" s="16145"/>
      <c r="K232" s="16122"/>
      <c r="L232" s="2503"/>
      <c r="M232" s="2513"/>
      <c r="N232" s="2513"/>
      <c r="O232" s="2513"/>
      <c r="P232" s="16123"/>
      <c r="Q232" s="16123"/>
      <c r="R232" s="2517"/>
      <c r="S232" s="2522"/>
      <c r="T232" s="2510"/>
      <c r="U232" s="2510"/>
      <c r="V232" s="1894"/>
      <c r="W232" s="1894"/>
      <c r="X232" s="1894"/>
      <c r="Y232" s="1894"/>
      <c r="Z232" s="1894"/>
      <c r="AA232" s="1894"/>
      <c r="AB232" s="1894"/>
      <c r="AC232" s="16128"/>
      <c r="AD232" s="15973"/>
      <c r="AE232" s="16128"/>
      <c r="AF232" s="15973"/>
      <c r="AG232" s="1894"/>
      <c r="AH232" s="1894"/>
      <c r="AI232" s="1894"/>
      <c r="AJ232" s="1894"/>
      <c r="AK232" s="1894"/>
      <c r="AL232" s="1894"/>
      <c r="AM232" s="1894"/>
      <c r="AN232" s="16128"/>
      <c r="AO232" s="15973"/>
      <c r="AP232" s="16147"/>
      <c r="AQ232" s="15973"/>
      <c r="AR232" s="1894"/>
      <c r="AS232" s="1894"/>
      <c r="AT232" s="1894"/>
      <c r="AU232" s="1894"/>
      <c r="AV232" s="1894"/>
      <c r="AW232" s="1894"/>
      <c r="AX232" s="1894"/>
      <c r="AY232" s="16128"/>
      <c r="AZ232" s="15973"/>
      <c r="BA232" s="16128"/>
      <c r="BB232" s="15973"/>
      <c r="BC232" s="1894"/>
      <c r="BD232" s="1894"/>
      <c r="BE232" s="1894"/>
      <c r="BF232" s="1894"/>
      <c r="BG232" s="1894"/>
      <c r="BH232" s="1894"/>
      <c r="BI232" s="1894"/>
      <c r="BJ232" s="16128"/>
      <c r="BK232" s="15973"/>
      <c r="BL232" s="16128"/>
      <c r="BM232" s="15973"/>
      <c r="BN232" s="1894"/>
      <c r="BO232" s="1894"/>
      <c r="BP232" s="1894"/>
      <c r="BQ232" s="1894"/>
      <c r="BR232" s="1894"/>
      <c r="BS232" s="1894"/>
      <c r="BT232" s="1894"/>
      <c r="BU232" s="16128"/>
      <c r="BV232" s="15973"/>
      <c r="BW232" s="16128"/>
      <c r="BX232" s="15973"/>
      <c r="BY232" s="1894"/>
      <c r="BZ232" s="1894"/>
      <c r="CA232" s="1894"/>
      <c r="CB232" s="1894"/>
      <c r="CC232" s="1894"/>
      <c r="CD232" s="1894"/>
      <c r="CE232" s="1894"/>
      <c r="CF232" s="16128"/>
      <c r="CG232" s="15973"/>
      <c r="CH232" s="16128"/>
      <c r="CI232" s="15973"/>
      <c r="CJ232" s="1894"/>
      <c r="CK232" s="1894"/>
      <c r="CL232" s="1894"/>
      <c r="CM232" s="1894"/>
      <c r="CN232" s="1894"/>
      <c r="CO232" s="1894"/>
      <c r="CP232" s="1894"/>
      <c r="CQ232" s="16128"/>
      <c r="CR232" s="15973"/>
      <c r="CS232" s="16128"/>
      <c r="CT232" s="15973"/>
      <c r="CU232" s="1894"/>
      <c r="CV232" s="1894"/>
      <c r="CW232" s="1894"/>
      <c r="CX232" s="1894"/>
      <c r="CY232" s="1894"/>
      <c r="CZ232" s="1894"/>
      <c r="DA232" s="1894"/>
      <c r="DB232" s="16128"/>
      <c r="DC232" s="15973"/>
      <c r="DD232" s="16128"/>
      <c r="DE232" s="15973"/>
      <c r="DF232" s="1894"/>
      <c r="DG232" s="1894"/>
      <c r="DH232" s="1894"/>
      <c r="DI232" s="1894"/>
      <c r="DJ232" s="1894"/>
      <c r="DK232" s="1894"/>
      <c r="DL232" s="1894"/>
      <c r="DM232" s="16128"/>
      <c r="DN232" s="15973"/>
      <c r="DO232" s="16128"/>
      <c r="DP232" s="15973"/>
      <c r="DQ232" s="1894"/>
      <c r="DR232" s="1894"/>
      <c r="DS232" s="1894"/>
      <c r="DT232" s="1894"/>
      <c r="DU232" s="1894"/>
      <c r="DV232" s="1894"/>
      <c r="DW232" s="1894"/>
      <c r="DX232" s="16128"/>
      <c r="DY232" s="15973"/>
      <c r="DZ232" s="16128"/>
      <c r="EA232" s="15973"/>
      <c r="EB232" s="1894"/>
      <c r="EC232" s="1894"/>
      <c r="ED232" s="1894"/>
      <c r="EE232" s="1894"/>
      <c r="EF232" s="1894"/>
      <c r="EG232" s="1894"/>
      <c r="EH232" s="1894"/>
      <c r="EI232" s="16128"/>
      <c r="EJ232" s="15973"/>
      <c r="EK232" s="16128"/>
      <c r="EL232" s="15973"/>
      <c r="EM232" s="14449"/>
      <c r="EN232" s="14449"/>
      <c r="EO232" s="14449"/>
      <c r="EP232" s="14449"/>
      <c r="EQ232" s="14449"/>
      <c r="ER232" s="14449"/>
      <c r="ES232" s="14449"/>
      <c r="ET232" s="16128"/>
      <c r="EU232" s="15973"/>
      <c r="EV232" s="16128"/>
      <c r="EW232" s="15973"/>
      <c r="EX232" s="2523"/>
      <c r="EY232" s="16182"/>
      <c r="EZ232" s="2199"/>
      <c r="FA232" s="2512"/>
      <c r="FB232" s="2512" t="str">
        <f t="shared" si="3"/>
        <v/>
      </c>
      <c r="FC232" s="2512"/>
      <c r="FD232" s="2512"/>
    </row>
    <row r="233" spans="1:160" s="15301" customFormat="1" ht="21" customHeight="1">
      <c r="A233" s="2502"/>
      <c r="B233" s="2502"/>
      <c r="C233" s="2502"/>
      <c r="D233" s="2502"/>
      <c r="E233" s="16125"/>
      <c r="F233" s="16125" t="s">
        <v>91</v>
      </c>
      <c r="G233" s="16125"/>
      <c r="H233" s="16125"/>
      <c r="I233" s="16145"/>
      <c r="J233" s="16122"/>
      <c r="K233" s="2502"/>
      <c r="L233" s="2503"/>
      <c r="M233" s="2513"/>
      <c r="N233" s="2513"/>
      <c r="O233" s="2513"/>
      <c r="P233" s="16123"/>
      <c r="Q233" s="16123"/>
      <c r="R233" s="2515"/>
      <c r="S233" s="9324"/>
      <c r="T233" s="9325" t="s">
        <v>621</v>
      </c>
      <c r="U233" s="9326"/>
      <c r="V233" s="9327"/>
      <c r="W233" s="9328"/>
      <c r="X233" s="9329"/>
      <c r="Y233" s="9330"/>
      <c r="Z233" s="9331"/>
      <c r="AA233" s="9332"/>
      <c r="AB233" s="9333"/>
      <c r="AC233" s="9334"/>
      <c r="AD233" s="9335"/>
      <c r="AE233" s="9336"/>
      <c r="AF233" s="9337"/>
      <c r="AG233" s="9338"/>
      <c r="AH233" s="9339"/>
      <c r="AI233" s="9340"/>
      <c r="AJ233" s="9341"/>
      <c r="AK233" s="9342"/>
      <c r="AL233" s="9343"/>
      <c r="AM233" s="9344"/>
      <c r="AN233" s="9345"/>
      <c r="AO233" s="9346"/>
      <c r="AP233" s="9347"/>
      <c r="AQ233" s="9348"/>
      <c r="AR233" s="9349"/>
      <c r="AS233" s="9350"/>
      <c r="AT233" s="9351"/>
      <c r="AU233" s="9352"/>
      <c r="AV233" s="9353"/>
      <c r="AW233" s="9354"/>
      <c r="AX233" s="9355"/>
      <c r="AY233" s="9356"/>
      <c r="AZ233" s="9357"/>
      <c r="BA233" s="9358"/>
      <c r="BB233" s="9359"/>
      <c r="BC233" s="9360"/>
      <c r="BD233" s="9361"/>
      <c r="BE233" s="9362"/>
      <c r="BF233" s="9363"/>
      <c r="BG233" s="9364"/>
      <c r="BH233" s="9365"/>
      <c r="BI233" s="9366"/>
      <c r="BJ233" s="9367"/>
      <c r="BK233" s="9368"/>
      <c r="BL233" s="9369"/>
      <c r="BM233" s="9370"/>
      <c r="BN233" s="9371"/>
      <c r="BO233" s="9372"/>
      <c r="BP233" s="9373"/>
      <c r="BQ233" s="9374"/>
      <c r="BR233" s="9375"/>
      <c r="BS233" s="9376"/>
      <c r="BT233" s="9377"/>
      <c r="BU233" s="9378"/>
      <c r="BV233" s="9379"/>
      <c r="BW233" s="9380"/>
      <c r="BX233" s="9381"/>
      <c r="BY233" s="9382"/>
      <c r="BZ233" s="9383"/>
      <c r="CA233" s="9384"/>
      <c r="CB233" s="9385"/>
      <c r="CC233" s="9386"/>
      <c r="CD233" s="9387"/>
      <c r="CE233" s="9388"/>
      <c r="CF233" s="9389"/>
      <c r="CG233" s="9390"/>
      <c r="CH233" s="9391"/>
      <c r="CI233" s="9392"/>
      <c r="CJ233" s="9393"/>
      <c r="CK233" s="9394"/>
      <c r="CL233" s="9395"/>
      <c r="CM233" s="9396"/>
      <c r="CN233" s="9397"/>
      <c r="CO233" s="9398"/>
      <c r="CP233" s="9399"/>
      <c r="CQ233" s="9400"/>
      <c r="CR233" s="9401"/>
      <c r="CS233" s="9402"/>
      <c r="CT233" s="9403"/>
      <c r="CU233" s="9404"/>
      <c r="CV233" s="9405"/>
      <c r="CW233" s="9406"/>
      <c r="CX233" s="9407"/>
      <c r="CY233" s="9408"/>
      <c r="CZ233" s="9409"/>
      <c r="DA233" s="9410"/>
      <c r="DB233" s="9411"/>
      <c r="DC233" s="9412"/>
      <c r="DD233" s="9413"/>
      <c r="DE233" s="9414"/>
      <c r="DF233" s="9415"/>
      <c r="DG233" s="9416"/>
      <c r="DH233" s="9417"/>
      <c r="DI233" s="9418"/>
      <c r="DJ233" s="9419"/>
      <c r="DK233" s="9420"/>
      <c r="DL233" s="9421"/>
      <c r="DM233" s="9422"/>
      <c r="DN233" s="9423"/>
      <c r="DO233" s="9424"/>
      <c r="DP233" s="9425"/>
      <c r="DQ233" s="9426"/>
      <c r="DR233" s="9427"/>
      <c r="DS233" s="9428"/>
      <c r="DT233" s="9429"/>
      <c r="DU233" s="9430"/>
      <c r="DV233" s="9431"/>
      <c r="DW233" s="9432"/>
      <c r="DX233" s="9433"/>
      <c r="DY233" s="9434"/>
      <c r="DZ233" s="9435"/>
      <c r="EA233" s="9436"/>
      <c r="EB233" s="9437"/>
      <c r="EC233" s="9438"/>
      <c r="ED233" s="9439"/>
      <c r="EE233" s="9440"/>
      <c r="EF233" s="9441"/>
      <c r="EG233" s="9442"/>
      <c r="EH233" s="9443"/>
      <c r="EI233" s="9444"/>
      <c r="EJ233" s="9445"/>
      <c r="EK233" s="9446"/>
      <c r="EL233" s="9447"/>
      <c r="EM233" s="15302"/>
      <c r="EN233" s="15303"/>
      <c r="EO233" s="15304"/>
      <c r="EP233" s="15305"/>
      <c r="EQ233" s="15306"/>
      <c r="ER233" s="15307"/>
      <c r="ES233" s="15308"/>
      <c r="ET233" s="15309"/>
      <c r="EU233" s="15310"/>
      <c r="EV233" s="15311"/>
      <c r="EW233" s="15312"/>
      <c r="EX233" s="9448"/>
      <c r="EY233" s="2511" t="s">
        <v>622</v>
      </c>
      <c r="EZ233" s="2199"/>
      <c r="FA233" s="2512"/>
      <c r="FB233" s="2512" t="str">
        <f t="shared" si="3"/>
        <v>Добавить значение признака дифференциации</v>
      </c>
      <c r="FC233" s="2512"/>
      <c r="FD233" s="2512"/>
    </row>
    <row r="234" spans="1:160" s="15313" customFormat="1" ht="21" customHeight="1">
      <c r="A234" s="2502"/>
      <c r="B234" s="2502"/>
      <c r="C234" s="2502"/>
      <c r="D234" s="2502"/>
      <c r="E234" s="16125"/>
      <c r="F234" s="16125" t="s">
        <v>91</v>
      </c>
      <c r="G234" s="16125"/>
      <c r="H234" s="16125"/>
      <c r="I234" s="16122"/>
      <c r="J234" s="2502"/>
      <c r="K234" s="2502"/>
      <c r="L234" s="2503"/>
      <c r="M234" s="2513"/>
      <c r="N234" s="2513"/>
      <c r="O234" s="2513"/>
      <c r="P234" s="16123"/>
      <c r="Q234" s="2514"/>
      <c r="R234" s="2515"/>
      <c r="S234" s="9449"/>
      <c r="T234" s="9450" t="s">
        <v>549</v>
      </c>
      <c r="U234" s="9451"/>
      <c r="V234" s="9452"/>
      <c r="W234" s="9453"/>
      <c r="X234" s="9454"/>
      <c r="Y234" s="9455"/>
      <c r="Z234" s="9456"/>
      <c r="AA234" s="9457"/>
      <c r="AB234" s="9458"/>
      <c r="AC234" s="9459"/>
      <c r="AD234" s="9460"/>
      <c r="AE234" s="9461"/>
      <c r="AF234" s="9462"/>
      <c r="AG234" s="9463"/>
      <c r="AH234" s="9464"/>
      <c r="AI234" s="9465"/>
      <c r="AJ234" s="9466"/>
      <c r="AK234" s="9467"/>
      <c r="AL234" s="9468"/>
      <c r="AM234" s="9469"/>
      <c r="AN234" s="9470"/>
      <c r="AO234" s="9471"/>
      <c r="AP234" s="9472"/>
      <c r="AQ234" s="9473"/>
      <c r="AR234" s="9474"/>
      <c r="AS234" s="9475"/>
      <c r="AT234" s="9476"/>
      <c r="AU234" s="9477"/>
      <c r="AV234" s="9478"/>
      <c r="AW234" s="9479"/>
      <c r="AX234" s="9480"/>
      <c r="AY234" s="9481"/>
      <c r="AZ234" s="9482"/>
      <c r="BA234" s="9483"/>
      <c r="BB234" s="9484"/>
      <c r="BC234" s="9485"/>
      <c r="BD234" s="9486"/>
      <c r="BE234" s="9487"/>
      <c r="BF234" s="9488"/>
      <c r="BG234" s="9489"/>
      <c r="BH234" s="9490"/>
      <c r="BI234" s="9491"/>
      <c r="BJ234" s="9492"/>
      <c r="BK234" s="9493"/>
      <c r="BL234" s="9494"/>
      <c r="BM234" s="9495"/>
      <c r="BN234" s="9496"/>
      <c r="BO234" s="9497"/>
      <c r="BP234" s="9498"/>
      <c r="BQ234" s="9499"/>
      <c r="BR234" s="9500"/>
      <c r="BS234" s="9501"/>
      <c r="BT234" s="9502"/>
      <c r="BU234" s="9503"/>
      <c r="BV234" s="9504"/>
      <c r="BW234" s="9505"/>
      <c r="BX234" s="9506"/>
      <c r="BY234" s="9507"/>
      <c r="BZ234" s="9508"/>
      <c r="CA234" s="9509"/>
      <c r="CB234" s="9510"/>
      <c r="CC234" s="9511"/>
      <c r="CD234" s="9512"/>
      <c r="CE234" s="9513"/>
      <c r="CF234" s="9514"/>
      <c r="CG234" s="9515"/>
      <c r="CH234" s="9516"/>
      <c r="CI234" s="9517"/>
      <c r="CJ234" s="9518"/>
      <c r="CK234" s="9519"/>
      <c r="CL234" s="9520"/>
      <c r="CM234" s="9521"/>
      <c r="CN234" s="9522"/>
      <c r="CO234" s="9523"/>
      <c r="CP234" s="9524"/>
      <c r="CQ234" s="9525"/>
      <c r="CR234" s="9526"/>
      <c r="CS234" s="9527"/>
      <c r="CT234" s="9528"/>
      <c r="CU234" s="9529"/>
      <c r="CV234" s="9530"/>
      <c r="CW234" s="9531"/>
      <c r="CX234" s="9532"/>
      <c r="CY234" s="9533"/>
      <c r="CZ234" s="9534"/>
      <c r="DA234" s="9535"/>
      <c r="DB234" s="9536"/>
      <c r="DC234" s="9537"/>
      <c r="DD234" s="9538"/>
      <c r="DE234" s="9539"/>
      <c r="DF234" s="9540"/>
      <c r="DG234" s="9541"/>
      <c r="DH234" s="9542"/>
      <c r="DI234" s="9543"/>
      <c r="DJ234" s="9544"/>
      <c r="DK234" s="9545"/>
      <c r="DL234" s="9546"/>
      <c r="DM234" s="9547"/>
      <c r="DN234" s="9548"/>
      <c r="DO234" s="9549"/>
      <c r="DP234" s="9550"/>
      <c r="DQ234" s="9551"/>
      <c r="DR234" s="9552"/>
      <c r="DS234" s="9553"/>
      <c r="DT234" s="9554"/>
      <c r="DU234" s="9555"/>
      <c r="DV234" s="9556"/>
      <c r="DW234" s="9557"/>
      <c r="DX234" s="9558"/>
      <c r="DY234" s="9559"/>
      <c r="DZ234" s="9560"/>
      <c r="EA234" s="9561"/>
      <c r="EB234" s="9562"/>
      <c r="EC234" s="9563"/>
      <c r="ED234" s="9564"/>
      <c r="EE234" s="9565"/>
      <c r="EF234" s="9566"/>
      <c r="EG234" s="9567"/>
      <c r="EH234" s="9568"/>
      <c r="EI234" s="9569"/>
      <c r="EJ234" s="9570"/>
      <c r="EK234" s="9571"/>
      <c r="EL234" s="9572"/>
      <c r="EM234" s="15314"/>
      <c r="EN234" s="15315"/>
      <c r="EO234" s="15316"/>
      <c r="EP234" s="15317"/>
      <c r="EQ234" s="15318"/>
      <c r="ER234" s="15319"/>
      <c r="ES234" s="15320"/>
      <c r="ET234" s="15321"/>
      <c r="EU234" s="15322"/>
      <c r="EV234" s="15323"/>
      <c r="EW234" s="15324"/>
      <c r="EX234" s="9573"/>
      <c r="EY234" s="9574"/>
      <c r="EZ234" s="2199"/>
      <c r="FA234" s="2512"/>
      <c r="FB234" s="2512" t="str">
        <f t="shared" ref="FB234:FB297" si="4">IF(T234="","",T234)</f>
        <v>Добавить группу потребителей</v>
      </c>
      <c r="FC234" s="2512"/>
      <c r="FD234" s="2512"/>
    </row>
    <row r="235" spans="1:160" s="15325" customFormat="1" ht="21" customHeight="1">
      <c r="A235" s="2502"/>
      <c r="B235" s="2502"/>
      <c r="C235" s="2502"/>
      <c r="D235" s="2502"/>
      <c r="E235" s="16125"/>
      <c r="F235" s="16125" t="s">
        <v>91</v>
      </c>
      <c r="G235" s="16125"/>
      <c r="H235" s="16124"/>
      <c r="I235" s="2502"/>
      <c r="J235" s="2502"/>
      <c r="K235" s="2502"/>
      <c r="L235" s="2503"/>
      <c r="M235" s="2504"/>
      <c r="N235" s="2504"/>
      <c r="O235" s="2193"/>
      <c r="P235" s="2775"/>
      <c r="Q235" s="2776"/>
      <c r="R235" s="2777"/>
      <c r="S235" s="9575"/>
      <c r="T235" s="9576" t="s">
        <v>623</v>
      </c>
      <c r="U235" s="9577"/>
      <c r="V235" s="9578"/>
      <c r="W235" s="9579"/>
      <c r="X235" s="9580"/>
      <c r="Y235" s="9581"/>
      <c r="Z235" s="9582"/>
      <c r="AA235" s="9583"/>
      <c r="AB235" s="9584"/>
      <c r="AC235" s="9585"/>
      <c r="AD235" s="9586"/>
      <c r="AE235" s="9587"/>
      <c r="AF235" s="9588"/>
      <c r="AG235" s="9589"/>
      <c r="AH235" s="9590"/>
      <c r="AI235" s="9591"/>
      <c r="AJ235" s="9592"/>
      <c r="AK235" s="9593"/>
      <c r="AL235" s="9594"/>
      <c r="AM235" s="9595"/>
      <c r="AN235" s="9596"/>
      <c r="AO235" s="9597"/>
      <c r="AP235" s="9598"/>
      <c r="AQ235" s="9599"/>
      <c r="AR235" s="9600"/>
      <c r="AS235" s="9601"/>
      <c r="AT235" s="9602"/>
      <c r="AU235" s="9603"/>
      <c r="AV235" s="9604"/>
      <c r="AW235" s="9605"/>
      <c r="AX235" s="9606"/>
      <c r="AY235" s="9607"/>
      <c r="AZ235" s="9608"/>
      <c r="BA235" s="9609"/>
      <c r="BB235" s="9610"/>
      <c r="BC235" s="9611"/>
      <c r="BD235" s="9612"/>
      <c r="BE235" s="9613"/>
      <c r="BF235" s="9614"/>
      <c r="BG235" s="9615"/>
      <c r="BH235" s="9616"/>
      <c r="BI235" s="9617"/>
      <c r="BJ235" s="9618"/>
      <c r="BK235" s="9619"/>
      <c r="BL235" s="9620"/>
      <c r="BM235" s="9621"/>
      <c r="BN235" s="9622"/>
      <c r="BO235" s="9623"/>
      <c r="BP235" s="9624"/>
      <c r="BQ235" s="9625"/>
      <c r="BR235" s="9626"/>
      <c r="BS235" s="9627"/>
      <c r="BT235" s="9628"/>
      <c r="BU235" s="9629"/>
      <c r="BV235" s="9630"/>
      <c r="BW235" s="9631"/>
      <c r="BX235" s="9632"/>
      <c r="BY235" s="9633"/>
      <c r="BZ235" s="9634"/>
      <c r="CA235" s="9635"/>
      <c r="CB235" s="9636"/>
      <c r="CC235" s="9637"/>
      <c r="CD235" s="9638"/>
      <c r="CE235" s="9639"/>
      <c r="CF235" s="9640"/>
      <c r="CG235" s="9641"/>
      <c r="CH235" s="9642"/>
      <c r="CI235" s="9643"/>
      <c r="CJ235" s="9644"/>
      <c r="CK235" s="9645"/>
      <c r="CL235" s="9646"/>
      <c r="CM235" s="9647"/>
      <c r="CN235" s="9648"/>
      <c r="CO235" s="9649"/>
      <c r="CP235" s="9650"/>
      <c r="CQ235" s="9651"/>
      <c r="CR235" s="9652"/>
      <c r="CS235" s="9653"/>
      <c r="CT235" s="9654"/>
      <c r="CU235" s="9655"/>
      <c r="CV235" s="9656"/>
      <c r="CW235" s="9657"/>
      <c r="CX235" s="9658"/>
      <c r="CY235" s="9659"/>
      <c r="CZ235" s="9660"/>
      <c r="DA235" s="9661"/>
      <c r="DB235" s="9662"/>
      <c r="DC235" s="9663"/>
      <c r="DD235" s="9664"/>
      <c r="DE235" s="9665"/>
      <c r="DF235" s="9666"/>
      <c r="DG235" s="9667"/>
      <c r="DH235" s="9668"/>
      <c r="DI235" s="9669"/>
      <c r="DJ235" s="9670"/>
      <c r="DK235" s="9671"/>
      <c r="DL235" s="9672"/>
      <c r="DM235" s="9673"/>
      <c r="DN235" s="9674"/>
      <c r="DO235" s="9675"/>
      <c r="DP235" s="9676"/>
      <c r="DQ235" s="9677"/>
      <c r="DR235" s="9678"/>
      <c r="DS235" s="9679"/>
      <c r="DT235" s="9680"/>
      <c r="DU235" s="9681"/>
      <c r="DV235" s="9682"/>
      <c r="DW235" s="9683"/>
      <c r="DX235" s="9684"/>
      <c r="DY235" s="9685"/>
      <c r="DZ235" s="9686"/>
      <c r="EA235" s="9687"/>
      <c r="EB235" s="9688"/>
      <c r="EC235" s="9689"/>
      <c r="ED235" s="9690"/>
      <c r="EE235" s="9691"/>
      <c r="EF235" s="9692"/>
      <c r="EG235" s="9693"/>
      <c r="EH235" s="9694"/>
      <c r="EI235" s="9695"/>
      <c r="EJ235" s="9696"/>
      <c r="EK235" s="9697"/>
      <c r="EL235" s="9698"/>
      <c r="EM235" s="15326"/>
      <c r="EN235" s="15327"/>
      <c r="EO235" s="15328"/>
      <c r="EP235" s="15329"/>
      <c r="EQ235" s="15330"/>
      <c r="ER235" s="15331"/>
      <c r="ES235" s="15332"/>
      <c r="ET235" s="15333"/>
      <c r="EU235" s="15334"/>
      <c r="EV235" s="15335"/>
      <c r="EW235" s="15336"/>
      <c r="EX235" s="9699"/>
      <c r="EY235" s="9700"/>
      <c r="EZ235" s="2199"/>
      <c r="FA235" s="2512"/>
      <c r="FB235" s="2512" t="str">
        <f t="shared" si="4"/>
        <v>Добавить наименование признака дифференциации</v>
      </c>
      <c r="FC235" s="2512"/>
      <c r="FD235" s="2512"/>
    </row>
    <row r="236" spans="1:160" s="15337" customFormat="1" ht="14.25" customHeight="1">
      <c r="A236" s="3283"/>
      <c r="B236" s="3283"/>
      <c r="C236" s="3283"/>
      <c r="D236" s="3283"/>
      <c r="E236" s="16125"/>
      <c r="F236" s="16124" t="s">
        <v>91</v>
      </c>
      <c r="G236" s="3283"/>
      <c r="H236" s="3283"/>
      <c r="I236" s="3283"/>
      <c r="J236" s="3283"/>
      <c r="K236" s="3283"/>
      <c r="L236" s="3284"/>
      <c r="M236" s="3285"/>
      <c r="N236" s="3285"/>
      <c r="O236" s="2199"/>
      <c r="P236" s="3286"/>
      <c r="Q236" s="3287"/>
      <c r="R236" s="3286"/>
      <c r="S236" s="3288"/>
      <c r="T236" s="3289" t="s">
        <v>290</v>
      </c>
      <c r="U236" s="2192"/>
      <c r="V236" s="2192"/>
      <c r="W236" s="2192"/>
      <c r="X236" s="2192"/>
      <c r="Y236" s="2192"/>
      <c r="Z236" s="2192"/>
      <c r="AA236" s="2192"/>
      <c r="AB236" s="2192"/>
      <c r="AC236" s="2192"/>
      <c r="AD236" s="2192"/>
      <c r="AE236" s="2192"/>
      <c r="AF236" s="2192"/>
      <c r="AG236" s="2192"/>
      <c r="AH236" s="2192"/>
      <c r="AI236" s="2192"/>
      <c r="AJ236" s="2192"/>
      <c r="AK236" s="2192"/>
      <c r="AL236" s="2192"/>
      <c r="AM236" s="2192"/>
      <c r="AN236" s="2192"/>
      <c r="AO236" s="2192"/>
      <c r="AP236" s="2192"/>
      <c r="AQ236" s="2192"/>
      <c r="AR236" s="2192"/>
      <c r="AS236" s="2192"/>
      <c r="AT236" s="2192"/>
      <c r="AU236" s="2192"/>
      <c r="AV236" s="2192"/>
      <c r="AW236" s="2192"/>
      <c r="AX236" s="2192"/>
      <c r="AY236" s="2192"/>
      <c r="AZ236" s="2192"/>
      <c r="BA236" s="2192"/>
      <c r="BB236" s="2192"/>
      <c r="BC236" s="2192"/>
      <c r="BD236" s="2192"/>
      <c r="BE236" s="2192"/>
      <c r="BF236" s="2192"/>
      <c r="BG236" s="2192"/>
      <c r="BH236" s="2192"/>
      <c r="BI236" s="2192"/>
      <c r="BJ236" s="2192"/>
      <c r="BK236" s="2192"/>
      <c r="BL236" s="2192"/>
      <c r="BM236" s="2192"/>
      <c r="BN236" s="2192"/>
      <c r="BO236" s="2192"/>
      <c r="BP236" s="2192"/>
      <c r="BQ236" s="2192"/>
      <c r="BR236" s="2192"/>
      <c r="BS236" s="2192"/>
      <c r="BT236" s="2192"/>
      <c r="BU236" s="2192"/>
      <c r="BV236" s="2192"/>
      <c r="BW236" s="2192"/>
      <c r="BX236" s="2192"/>
      <c r="BY236" s="2192"/>
      <c r="BZ236" s="2192"/>
      <c r="CA236" s="2192"/>
      <c r="CB236" s="2192"/>
      <c r="CC236" s="2192"/>
      <c r="CD236" s="2192"/>
      <c r="CE236" s="2192"/>
      <c r="CF236" s="2192"/>
      <c r="CG236" s="2192"/>
      <c r="CH236" s="2192"/>
      <c r="CI236" s="2192"/>
      <c r="CJ236" s="2192"/>
      <c r="CK236" s="2192"/>
      <c r="CL236" s="2192"/>
      <c r="CM236" s="2192"/>
      <c r="CN236" s="2192"/>
      <c r="CO236" s="2192"/>
      <c r="CP236" s="2192"/>
      <c r="CQ236" s="2192"/>
      <c r="CR236" s="2192"/>
      <c r="CS236" s="2192"/>
      <c r="CT236" s="2192"/>
      <c r="CU236" s="2192"/>
      <c r="CV236" s="2192"/>
      <c r="CW236" s="2192"/>
      <c r="CX236" s="2192"/>
      <c r="CY236" s="2192"/>
      <c r="CZ236" s="2192"/>
      <c r="DA236" s="2192"/>
      <c r="DB236" s="2192"/>
      <c r="DC236" s="2192"/>
      <c r="DD236" s="2192"/>
      <c r="DE236" s="2192"/>
      <c r="DF236" s="2192"/>
      <c r="DG236" s="2192"/>
      <c r="DH236" s="2192"/>
      <c r="DI236" s="2192"/>
      <c r="DJ236" s="2192"/>
      <c r="DK236" s="2192"/>
      <c r="DL236" s="2192"/>
      <c r="DM236" s="2192"/>
      <c r="DN236" s="2192"/>
      <c r="DO236" s="2192"/>
      <c r="DP236" s="2192"/>
      <c r="DQ236" s="2192"/>
      <c r="DR236" s="2192"/>
      <c r="DS236" s="2192"/>
      <c r="DT236" s="2192"/>
      <c r="DU236" s="2192"/>
      <c r="DV236" s="2192"/>
      <c r="DW236" s="2192"/>
      <c r="DX236" s="2192"/>
      <c r="DY236" s="2192"/>
      <c r="DZ236" s="2192"/>
      <c r="EA236" s="2192"/>
      <c r="EB236" s="2192"/>
      <c r="EC236" s="2192"/>
      <c r="ED236" s="2192"/>
      <c r="EE236" s="2192"/>
      <c r="EF236" s="2192"/>
      <c r="EG236" s="2192"/>
      <c r="EH236" s="2192"/>
      <c r="EI236" s="2192"/>
      <c r="EJ236" s="2192"/>
      <c r="EK236" s="2192"/>
      <c r="EL236" s="2192"/>
      <c r="EM236" s="14483"/>
      <c r="EN236" s="14483"/>
      <c r="EO236" s="14483"/>
      <c r="EP236" s="14483"/>
      <c r="EQ236" s="14483"/>
      <c r="ER236" s="14483"/>
      <c r="ES236" s="14483"/>
      <c r="ET236" s="14483"/>
      <c r="EU236" s="14483"/>
      <c r="EV236" s="14483"/>
      <c r="EW236" s="14483"/>
      <c r="EX236" s="2192"/>
      <c r="EY236" s="2192"/>
      <c r="EZ236" s="2199"/>
      <c r="FA236" s="2512"/>
      <c r="FB236" s="2512" t="str">
        <f t="shared" si="4"/>
        <v>Добавить централизованную систему для дифференциации</v>
      </c>
      <c r="FC236" s="2512"/>
      <c r="FD236" s="2512"/>
    </row>
    <row r="237" spans="1:160" s="15338" customFormat="1" ht="23.25" customHeight="1">
      <c r="A237" s="2502"/>
      <c r="B237" s="2502" t="s">
        <v>353</v>
      </c>
      <c r="C237" s="2502"/>
      <c r="D237" s="2502"/>
      <c r="E237" s="16125"/>
      <c r="F237" s="16124" t="s">
        <v>132</v>
      </c>
      <c r="G237" s="2502"/>
      <c r="H237" s="2502"/>
      <c r="I237" s="2502"/>
      <c r="J237" s="2502"/>
      <c r="K237" s="2502"/>
      <c r="L237" s="2503"/>
      <c r="M237" s="2504"/>
      <c r="N237" s="2504"/>
      <c r="O237" s="2504"/>
      <c r="P237" s="2904"/>
      <c r="Q237" s="2506"/>
      <c r="R237" s="2507"/>
      <c r="S237" s="2508" t="str">
        <f>INDEX(PT_DIFFERENTIATION_NUM_TER,MATCH(B237,PT_DIFFERENTIATION_TER_ID,0))</f>
        <v>2.8</v>
      </c>
      <c r="T237" s="2905" t="s">
        <v>534</v>
      </c>
      <c r="U237" s="2510"/>
      <c r="V237" s="16110"/>
      <c r="W237" s="16111"/>
      <c r="X237" s="16111"/>
      <c r="Y237" s="16111"/>
      <c r="Z237" s="16111"/>
      <c r="AA237" s="16111"/>
      <c r="AB237" s="16111"/>
      <c r="AC237" s="16111"/>
      <c r="AD237" s="16111"/>
      <c r="AE237" s="16111"/>
      <c r="AF237" s="16112"/>
      <c r="AG237" s="16110" t="str">
        <f>INDEX(PT_DIFFERENTIATION_TER,MATCH(B237,PT_DIFFERENTIATION_TER_ID,0))</f>
        <v>Территория 8</v>
      </c>
      <c r="AH237" s="16111"/>
      <c r="AI237" s="16111"/>
      <c r="AJ237" s="16111"/>
      <c r="AK237" s="16111"/>
      <c r="AL237" s="16111"/>
      <c r="AM237" s="16111"/>
      <c r="AN237" s="16111"/>
      <c r="AO237" s="16111"/>
      <c r="AP237" s="16111"/>
      <c r="AQ237" s="16111"/>
      <c r="AR237" s="16110"/>
      <c r="AS237" s="16111"/>
      <c r="AT237" s="16111"/>
      <c r="AU237" s="16111"/>
      <c r="AV237" s="16111"/>
      <c r="AW237" s="16111"/>
      <c r="AX237" s="16111"/>
      <c r="AY237" s="16111"/>
      <c r="AZ237" s="16111"/>
      <c r="BA237" s="16111"/>
      <c r="BB237" s="16112"/>
      <c r="BC237" s="16110"/>
      <c r="BD237" s="16111"/>
      <c r="BE237" s="16111"/>
      <c r="BF237" s="16111"/>
      <c r="BG237" s="16111"/>
      <c r="BH237" s="16111"/>
      <c r="BI237" s="16111"/>
      <c r="BJ237" s="16111"/>
      <c r="BK237" s="16111"/>
      <c r="BL237" s="16111"/>
      <c r="BM237" s="16112"/>
      <c r="BN237" s="16110"/>
      <c r="BO237" s="16111"/>
      <c r="BP237" s="16111"/>
      <c r="BQ237" s="16111"/>
      <c r="BR237" s="16111"/>
      <c r="BS237" s="16111"/>
      <c r="BT237" s="16111"/>
      <c r="BU237" s="16111"/>
      <c r="BV237" s="16111"/>
      <c r="BW237" s="16111"/>
      <c r="BX237" s="16112"/>
      <c r="BY237" s="16110"/>
      <c r="BZ237" s="16111"/>
      <c r="CA237" s="16111"/>
      <c r="CB237" s="16111"/>
      <c r="CC237" s="16111"/>
      <c r="CD237" s="16111"/>
      <c r="CE237" s="16111"/>
      <c r="CF237" s="16111"/>
      <c r="CG237" s="16111"/>
      <c r="CH237" s="16111"/>
      <c r="CI237" s="16112"/>
      <c r="CJ237" s="16110"/>
      <c r="CK237" s="16111"/>
      <c r="CL237" s="16111"/>
      <c r="CM237" s="16111"/>
      <c r="CN237" s="16111"/>
      <c r="CO237" s="16111"/>
      <c r="CP237" s="16111"/>
      <c r="CQ237" s="16111"/>
      <c r="CR237" s="16111"/>
      <c r="CS237" s="16111"/>
      <c r="CT237" s="16112"/>
      <c r="CU237" s="16110"/>
      <c r="CV237" s="16111"/>
      <c r="CW237" s="16111"/>
      <c r="CX237" s="16111"/>
      <c r="CY237" s="16111"/>
      <c r="CZ237" s="16111"/>
      <c r="DA237" s="16111"/>
      <c r="DB237" s="16111"/>
      <c r="DC237" s="16111"/>
      <c r="DD237" s="16111"/>
      <c r="DE237" s="16112"/>
      <c r="DF237" s="16110"/>
      <c r="DG237" s="16111"/>
      <c r="DH237" s="16111"/>
      <c r="DI237" s="16111"/>
      <c r="DJ237" s="16111"/>
      <c r="DK237" s="16111"/>
      <c r="DL237" s="16111"/>
      <c r="DM237" s="16111"/>
      <c r="DN237" s="16111"/>
      <c r="DO237" s="16111"/>
      <c r="DP237" s="16112"/>
      <c r="DQ237" s="16110"/>
      <c r="DR237" s="16111"/>
      <c r="DS237" s="16111"/>
      <c r="DT237" s="16111"/>
      <c r="DU237" s="16111"/>
      <c r="DV237" s="16111"/>
      <c r="DW237" s="16111"/>
      <c r="DX237" s="16111"/>
      <c r="DY237" s="16111"/>
      <c r="DZ237" s="16111"/>
      <c r="EA237" s="16112"/>
      <c r="EB237" s="16110"/>
      <c r="EC237" s="16111"/>
      <c r="ED237" s="16111"/>
      <c r="EE237" s="16111"/>
      <c r="EF237" s="16111"/>
      <c r="EG237" s="16111"/>
      <c r="EH237" s="16111"/>
      <c r="EI237" s="16111"/>
      <c r="EJ237" s="16111"/>
      <c r="EK237" s="16111"/>
      <c r="EL237" s="16112"/>
      <c r="EM237" s="16110"/>
      <c r="EN237" s="16111"/>
      <c r="EO237" s="16111"/>
      <c r="EP237" s="16111"/>
      <c r="EQ237" s="16111"/>
      <c r="ER237" s="16111"/>
      <c r="ES237" s="16111"/>
      <c r="ET237" s="16111"/>
      <c r="EU237" s="16111"/>
      <c r="EV237" s="16111"/>
      <c r="EW237" s="16112"/>
      <c r="EX237" s="16112"/>
      <c r="EY237" s="2511" t="s">
        <v>535</v>
      </c>
      <c r="EZ237" s="2199"/>
      <c r="FA237" s="2512"/>
      <c r="FB237" s="2512" t="str">
        <f t="shared" si="4"/>
        <v>Территория действия тарифа</v>
      </c>
      <c r="FC237" s="2512"/>
      <c r="FD237" s="2512"/>
    </row>
    <row r="238" spans="1:160" s="15339" customFormat="1" ht="23.25" customHeight="1">
      <c r="A238" s="2502"/>
      <c r="B238" s="2502"/>
      <c r="C238" s="2502" t="s">
        <v>354</v>
      </c>
      <c r="D238" s="2502"/>
      <c r="E238" s="16125"/>
      <c r="F238" s="16125" t="s">
        <v>92</v>
      </c>
      <c r="G238" s="16124">
        <v>1</v>
      </c>
      <c r="H238" s="2502"/>
      <c r="I238" s="2502"/>
      <c r="J238" s="2502"/>
      <c r="K238" s="2502"/>
      <c r="L238" s="2503"/>
      <c r="M238" s="2504"/>
      <c r="N238" s="2504"/>
      <c r="O238" s="2504"/>
      <c r="P238" s="2505"/>
      <c r="Q238" s="2506"/>
      <c r="R238" s="2507"/>
      <c r="S238" s="2508" t="str">
        <f>INDEX(PT_DIFFERENTIATION_NUM_CS,MATCH(C238,PT_DIFFERENTIATION_CS_ID,0))</f>
        <v>2.8.1</v>
      </c>
      <c r="T238" s="2509" t="s">
        <v>665</v>
      </c>
      <c r="U238" s="2510"/>
      <c r="V238" s="16110"/>
      <c r="W238" s="16111"/>
      <c r="X238" s="16111"/>
      <c r="Y238" s="16111"/>
      <c r="Z238" s="16111"/>
      <c r="AA238" s="16111"/>
      <c r="AB238" s="16111"/>
      <c r="AC238" s="16111"/>
      <c r="AD238" s="16111"/>
      <c r="AE238" s="16111"/>
      <c r="AF238" s="16112"/>
      <c r="AG238" s="16110" t="str">
        <f>INDEX(PT_DIFFERENTIATION_CS,MATCH(C238,PT_DIFFERENTIATION_CS_ID,0))</f>
        <v>без дифференциации</v>
      </c>
      <c r="AH238" s="16111"/>
      <c r="AI238" s="16111"/>
      <c r="AJ238" s="16111"/>
      <c r="AK238" s="16111"/>
      <c r="AL238" s="16111"/>
      <c r="AM238" s="16111"/>
      <c r="AN238" s="16111"/>
      <c r="AO238" s="16111"/>
      <c r="AP238" s="16111"/>
      <c r="AQ238" s="16111"/>
      <c r="AR238" s="16110"/>
      <c r="AS238" s="16111"/>
      <c r="AT238" s="16111"/>
      <c r="AU238" s="16111"/>
      <c r="AV238" s="16111"/>
      <c r="AW238" s="16111"/>
      <c r="AX238" s="16111"/>
      <c r="AY238" s="16111"/>
      <c r="AZ238" s="16111"/>
      <c r="BA238" s="16111"/>
      <c r="BB238" s="16112"/>
      <c r="BC238" s="16110"/>
      <c r="BD238" s="16111"/>
      <c r="BE238" s="16111"/>
      <c r="BF238" s="16111"/>
      <c r="BG238" s="16111"/>
      <c r="BH238" s="16111"/>
      <c r="BI238" s="16111"/>
      <c r="BJ238" s="16111"/>
      <c r="BK238" s="16111"/>
      <c r="BL238" s="16111"/>
      <c r="BM238" s="16112"/>
      <c r="BN238" s="16110"/>
      <c r="BO238" s="16111"/>
      <c r="BP238" s="16111"/>
      <c r="BQ238" s="16111"/>
      <c r="BR238" s="16111"/>
      <c r="BS238" s="16111"/>
      <c r="BT238" s="16111"/>
      <c r="BU238" s="16111"/>
      <c r="BV238" s="16111"/>
      <c r="BW238" s="16111"/>
      <c r="BX238" s="16112"/>
      <c r="BY238" s="16110"/>
      <c r="BZ238" s="16111"/>
      <c r="CA238" s="16111"/>
      <c r="CB238" s="16111"/>
      <c r="CC238" s="16111"/>
      <c r="CD238" s="16111"/>
      <c r="CE238" s="16111"/>
      <c r="CF238" s="16111"/>
      <c r="CG238" s="16111"/>
      <c r="CH238" s="16111"/>
      <c r="CI238" s="16112"/>
      <c r="CJ238" s="16110"/>
      <c r="CK238" s="16111"/>
      <c r="CL238" s="16111"/>
      <c r="CM238" s="16111"/>
      <c r="CN238" s="16111"/>
      <c r="CO238" s="16111"/>
      <c r="CP238" s="16111"/>
      <c r="CQ238" s="16111"/>
      <c r="CR238" s="16111"/>
      <c r="CS238" s="16111"/>
      <c r="CT238" s="16112"/>
      <c r="CU238" s="16110"/>
      <c r="CV238" s="16111"/>
      <c r="CW238" s="16111"/>
      <c r="CX238" s="16111"/>
      <c r="CY238" s="16111"/>
      <c r="CZ238" s="16111"/>
      <c r="DA238" s="16111"/>
      <c r="DB238" s="16111"/>
      <c r="DC238" s="16111"/>
      <c r="DD238" s="16111"/>
      <c r="DE238" s="16112"/>
      <c r="DF238" s="16110"/>
      <c r="DG238" s="16111"/>
      <c r="DH238" s="16111"/>
      <c r="DI238" s="16111"/>
      <c r="DJ238" s="16111"/>
      <c r="DK238" s="16111"/>
      <c r="DL238" s="16111"/>
      <c r="DM238" s="16111"/>
      <c r="DN238" s="16111"/>
      <c r="DO238" s="16111"/>
      <c r="DP238" s="16112"/>
      <c r="DQ238" s="16110"/>
      <c r="DR238" s="16111"/>
      <c r="DS238" s="16111"/>
      <c r="DT238" s="16111"/>
      <c r="DU238" s="16111"/>
      <c r="DV238" s="16111"/>
      <c r="DW238" s="16111"/>
      <c r="DX238" s="16111"/>
      <c r="DY238" s="16111"/>
      <c r="DZ238" s="16111"/>
      <c r="EA238" s="16112"/>
      <c r="EB238" s="16110"/>
      <c r="EC238" s="16111"/>
      <c r="ED238" s="16111"/>
      <c r="EE238" s="16111"/>
      <c r="EF238" s="16111"/>
      <c r="EG238" s="16111"/>
      <c r="EH238" s="16111"/>
      <c r="EI238" s="16111"/>
      <c r="EJ238" s="16111"/>
      <c r="EK238" s="16111"/>
      <c r="EL238" s="16112"/>
      <c r="EM238" s="16110"/>
      <c r="EN238" s="16111"/>
      <c r="EO238" s="16111"/>
      <c r="EP238" s="16111"/>
      <c r="EQ238" s="16111"/>
      <c r="ER238" s="16111"/>
      <c r="ES238" s="16111"/>
      <c r="ET238" s="16111"/>
      <c r="EU238" s="16111"/>
      <c r="EV238" s="16111"/>
      <c r="EW238" s="16112"/>
      <c r="EX238" s="16112"/>
      <c r="EY238" s="2511" t="s">
        <v>666</v>
      </c>
      <c r="EZ238" s="2199"/>
      <c r="FA238" s="2512"/>
      <c r="FB238" s="2512" t="str">
        <f t="shared" si="4"/>
        <v>Наименование централизованной системы горячего водоснабжения</v>
      </c>
      <c r="FC238" s="2512"/>
      <c r="FD238" s="2512"/>
    </row>
    <row r="239" spans="1:160" s="15340" customFormat="1" ht="23.25" customHeight="1">
      <c r="A239" s="2502"/>
      <c r="B239" s="2502"/>
      <c r="C239" s="2502"/>
      <c r="D239" s="2502"/>
      <c r="E239" s="16125"/>
      <c r="F239" s="16125" t="s">
        <v>92</v>
      </c>
      <c r="G239" s="16125"/>
      <c r="H239" s="16125"/>
      <c r="I239" s="16122" t="str">
        <f>S238&amp;".1"</f>
        <v>2.8.1.1</v>
      </c>
      <c r="J239" s="2502"/>
      <c r="K239" s="2502"/>
      <c r="L239" s="2503"/>
      <c r="M239" s="2513"/>
      <c r="N239" s="2513"/>
      <c r="O239" s="2513"/>
      <c r="P239" s="16123">
        <v>1</v>
      </c>
      <c r="Q239" s="2514"/>
      <c r="R239" s="2515"/>
      <c r="S239" s="2508" t="str">
        <f>$I239</f>
        <v>2.8.1.1</v>
      </c>
      <c r="T239" s="2516" t="s">
        <v>618</v>
      </c>
      <c r="U239" s="2510"/>
      <c r="V239" s="16183"/>
      <c r="W239" s="16184"/>
      <c r="X239" s="16184"/>
      <c r="Y239" s="16184"/>
      <c r="Z239" s="16184"/>
      <c r="AA239" s="16184"/>
      <c r="AB239" s="16184"/>
      <c r="AC239" s="16184"/>
      <c r="AD239" s="16184"/>
      <c r="AE239" s="16184"/>
      <c r="AF239" s="16185"/>
      <c r="AG239" s="16186"/>
      <c r="AH239" s="16187"/>
      <c r="AI239" s="16187"/>
      <c r="AJ239" s="16187"/>
      <c r="AK239" s="16187"/>
      <c r="AL239" s="16187"/>
      <c r="AM239" s="16187"/>
      <c r="AN239" s="16187"/>
      <c r="AO239" s="16187"/>
      <c r="AP239" s="16187"/>
      <c r="AQ239" s="16187"/>
      <c r="AR239" s="16183"/>
      <c r="AS239" s="16184"/>
      <c r="AT239" s="16184"/>
      <c r="AU239" s="16184"/>
      <c r="AV239" s="16184"/>
      <c r="AW239" s="16184"/>
      <c r="AX239" s="16184"/>
      <c r="AY239" s="16184"/>
      <c r="AZ239" s="16184"/>
      <c r="BA239" s="16184"/>
      <c r="BB239" s="16185"/>
      <c r="BC239" s="16183"/>
      <c r="BD239" s="16184"/>
      <c r="BE239" s="16184"/>
      <c r="BF239" s="16184"/>
      <c r="BG239" s="16184"/>
      <c r="BH239" s="16184"/>
      <c r="BI239" s="16184"/>
      <c r="BJ239" s="16184"/>
      <c r="BK239" s="16184"/>
      <c r="BL239" s="16184"/>
      <c r="BM239" s="16185"/>
      <c r="BN239" s="16183"/>
      <c r="BO239" s="16184"/>
      <c r="BP239" s="16184"/>
      <c r="BQ239" s="16184"/>
      <c r="BR239" s="16184"/>
      <c r="BS239" s="16184"/>
      <c r="BT239" s="16184"/>
      <c r="BU239" s="16184"/>
      <c r="BV239" s="16184"/>
      <c r="BW239" s="16184"/>
      <c r="BX239" s="16185"/>
      <c r="BY239" s="16183"/>
      <c r="BZ239" s="16184"/>
      <c r="CA239" s="16184"/>
      <c r="CB239" s="16184"/>
      <c r="CC239" s="16184"/>
      <c r="CD239" s="16184"/>
      <c r="CE239" s="16184"/>
      <c r="CF239" s="16184"/>
      <c r="CG239" s="16184"/>
      <c r="CH239" s="16184"/>
      <c r="CI239" s="16185"/>
      <c r="CJ239" s="16183"/>
      <c r="CK239" s="16184"/>
      <c r="CL239" s="16184"/>
      <c r="CM239" s="16184"/>
      <c r="CN239" s="16184"/>
      <c r="CO239" s="16184"/>
      <c r="CP239" s="16184"/>
      <c r="CQ239" s="16184"/>
      <c r="CR239" s="16184"/>
      <c r="CS239" s="16184"/>
      <c r="CT239" s="16185"/>
      <c r="CU239" s="16183"/>
      <c r="CV239" s="16184"/>
      <c r="CW239" s="16184"/>
      <c r="CX239" s="16184"/>
      <c r="CY239" s="16184"/>
      <c r="CZ239" s="16184"/>
      <c r="DA239" s="16184"/>
      <c r="DB239" s="16184"/>
      <c r="DC239" s="16184"/>
      <c r="DD239" s="16184"/>
      <c r="DE239" s="16185"/>
      <c r="DF239" s="16183"/>
      <c r="DG239" s="16184"/>
      <c r="DH239" s="16184"/>
      <c r="DI239" s="16184"/>
      <c r="DJ239" s="16184"/>
      <c r="DK239" s="16184"/>
      <c r="DL239" s="16184"/>
      <c r="DM239" s="16184"/>
      <c r="DN239" s="16184"/>
      <c r="DO239" s="16184"/>
      <c r="DP239" s="16185"/>
      <c r="DQ239" s="16183"/>
      <c r="DR239" s="16184"/>
      <c r="DS239" s="16184"/>
      <c r="DT239" s="16184"/>
      <c r="DU239" s="16184"/>
      <c r="DV239" s="16184"/>
      <c r="DW239" s="16184"/>
      <c r="DX239" s="16184"/>
      <c r="DY239" s="16184"/>
      <c r="DZ239" s="16184"/>
      <c r="EA239" s="16185"/>
      <c r="EB239" s="16183"/>
      <c r="EC239" s="16184"/>
      <c r="ED239" s="16184"/>
      <c r="EE239" s="16184"/>
      <c r="EF239" s="16184"/>
      <c r="EG239" s="16184"/>
      <c r="EH239" s="16184"/>
      <c r="EI239" s="16184"/>
      <c r="EJ239" s="16184"/>
      <c r="EK239" s="16184"/>
      <c r="EL239" s="16185"/>
      <c r="EM239" s="16183"/>
      <c r="EN239" s="16184"/>
      <c r="EO239" s="16184"/>
      <c r="EP239" s="16184"/>
      <c r="EQ239" s="16184"/>
      <c r="ER239" s="16184"/>
      <c r="ES239" s="16184"/>
      <c r="ET239" s="16184"/>
      <c r="EU239" s="16184"/>
      <c r="EV239" s="16184"/>
      <c r="EW239" s="16185"/>
      <c r="EX239" s="16188"/>
      <c r="EY239" s="2511" t="s">
        <v>619</v>
      </c>
      <c r="EZ239" s="2199"/>
      <c r="FA239" s="2512"/>
      <c r="FB239" s="2512" t="str">
        <f t="shared" si="4"/>
        <v>Наименование признака дифференциации</v>
      </c>
      <c r="FC239" s="2512"/>
      <c r="FD239" s="2512"/>
    </row>
    <row r="240" spans="1:160" s="15341" customFormat="1" ht="23.25" customHeight="1">
      <c r="A240" s="2502"/>
      <c r="B240" s="2502"/>
      <c r="C240" s="2502"/>
      <c r="D240" s="2502"/>
      <c r="E240" s="16125"/>
      <c r="F240" s="16125" t="s">
        <v>92</v>
      </c>
      <c r="G240" s="16125"/>
      <c r="H240" s="16125"/>
      <c r="I240" s="16145"/>
      <c r="J240" s="16122" t="str">
        <f>I239&amp;".1"</f>
        <v>2.8.1.1.1</v>
      </c>
      <c r="K240" s="2502"/>
      <c r="L240" s="2503" t="s">
        <v>543</v>
      </c>
      <c r="M240" s="2513"/>
      <c r="N240" s="2513"/>
      <c r="O240" s="2513"/>
      <c r="P240" s="16123"/>
      <c r="Q240" s="16123">
        <v>1</v>
      </c>
      <c r="R240" s="2517"/>
      <c r="S240" s="2508" t="str">
        <f>$J240</f>
        <v>2.8.1.1.1</v>
      </c>
      <c r="T240" s="2518" t="s">
        <v>544</v>
      </c>
      <c r="U240" s="2510"/>
      <c r="V240" s="16113"/>
      <c r="W240" s="16114"/>
      <c r="X240" s="16114"/>
      <c r="Y240" s="16114"/>
      <c r="Z240" s="16114"/>
      <c r="AA240" s="16114"/>
      <c r="AB240" s="16114"/>
      <c r="AC240" s="16114"/>
      <c r="AD240" s="16114"/>
      <c r="AE240" s="16114"/>
      <c r="AF240" s="16115"/>
      <c r="AG240" s="16113" t="s">
        <v>679</v>
      </c>
      <c r="AH240" s="16114"/>
      <c r="AI240" s="16114"/>
      <c r="AJ240" s="16114"/>
      <c r="AK240" s="16114"/>
      <c r="AL240" s="16114"/>
      <c r="AM240" s="16114"/>
      <c r="AN240" s="16114"/>
      <c r="AO240" s="16114"/>
      <c r="AP240" s="16114"/>
      <c r="AQ240" s="16114"/>
      <c r="AR240" s="16113"/>
      <c r="AS240" s="16114"/>
      <c r="AT240" s="16114"/>
      <c r="AU240" s="16114"/>
      <c r="AV240" s="16114"/>
      <c r="AW240" s="16114"/>
      <c r="AX240" s="16114"/>
      <c r="AY240" s="16114"/>
      <c r="AZ240" s="16114"/>
      <c r="BA240" s="16114"/>
      <c r="BB240" s="16115"/>
      <c r="BC240" s="16113"/>
      <c r="BD240" s="16114"/>
      <c r="BE240" s="16114"/>
      <c r="BF240" s="16114"/>
      <c r="BG240" s="16114"/>
      <c r="BH240" s="16114"/>
      <c r="BI240" s="16114"/>
      <c r="BJ240" s="16114"/>
      <c r="BK240" s="16114"/>
      <c r="BL240" s="16114"/>
      <c r="BM240" s="16115"/>
      <c r="BN240" s="16113"/>
      <c r="BO240" s="16114"/>
      <c r="BP240" s="16114"/>
      <c r="BQ240" s="16114"/>
      <c r="BR240" s="16114"/>
      <c r="BS240" s="16114"/>
      <c r="BT240" s="16114"/>
      <c r="BU240" s="16114"/>
      <c r="BV240" s="16114"/>
      <c r="BW240" s="16114"/>
      <c r="BX240" s="16115"/>
      <c r="BY240" s="16113"/>
      <c r="BZ240" s="16114"/>
      <c r="CA240" s="16114"/>
      <c r="CB240" s="16114"/>
      <c r="CC240" s="16114"/>
      <c r="CD240" s="16114"/>
      <c r="CE240" s="16114"/>
      <c r="CF240" s="16114"/>
      <c r="CG240" s="16114"/>
      <c r="CH240" s="16114"/>
      <c r="CI240" s="16115"/>
      <c r="CJ240" s="16113"/>
      <c r="CK240" s="16114"/>
      <c r="CL240" s="16114"/>
      <c r="CM240" s="16114"/>
      <c r="CN240" s="16114"/>
      <c r="CO240" s="16114"/>
      <c r="CP240" s="16114"/>
      <c r="CQ240" s="16114"/>
      <c r="CR240" s="16114"/>
      <c r="CS240" s="16114"/>
      <c r="CT240" s="16115"/>
      <c r="CU240" s="16113"/>
      <c r="CV240" s="16114"/>
      <c r="CW240" s="16114"/>
      <c r="CX240" s="16114"/>
      <c r="CY240" s="16114"/>
      <c r="CZ240" s="16114"/>
      <c r="DA240" s="16114"/>
      <c r="DB240" s="16114"/>
      <c r="DC240" s="16114"/>
      <c r="DD240" s="16114"/>
      <c r="DE240" s="16115"/>
      <c r="DF240" s="16113"/>
      <c r="DG240" s="16114"/>
      <c r="DH240" s="16114"/>
      <c r="DI240" s="16114"/>
      <c r="DJ240" s="16114"/>
      <c r="DK240" s="16114"/>
      <c r="DL240" s="16114"/>
      <c r="DM240" s="16114"/>
      <c r="DN240" s="16114"/>
      <c r="DO240" s="16114"/>
      <c r="DP240" s="16115"/>
      <c r="DQ240" s="16113"/>
      <c r="DR240" s="16114"/>
      <c r="DS240" s="16114"/>
      <c r="DT240" s="16114"/>
      <c r="DU240" s="16114"/>
      <c r="DV240" s="16114"/>
      <c r="DW240" s="16114"/>
      <c r="DX240" s="16114"/>
      <c r="DY240" s="16114"/>
      <c r="DZ240" s="16114"/>
      <c r="EA240" s="16115"/>
      <c r="EB240" s="16113"/>
      <c r="EC240" s="16114"/>
      <c r="ED240" s="16114"/>
      <c r="EE240" s="16114"/>
      <c r="EF240" s="16114"/>
      <c r="EG240" s="16114"/>
      <c r="EH240" s="16114"/>
      <c r="EI240" s="16114"/>
      <c r="EJ240" s="16114"/>
      <c r="EK240" s="16114"/>
      <c r="EL240" s="16115"/>
      <c r="EM240" s="16113"/>
      <c r="EN240" s="16114"/>
      <c r="EO240" s="16114"/>
      <c r="EP240" s="16114"/>
      <c r="EQ240" s="16114"/>
      <c r="ER240" s="16114"/>
      <c r="ES240" s="16114"/>
      <c r="ET240" s="16114"/>
      <c r="EU240" s="16114"/>
      <c r="EV240" s="16114"/>
      <c r="EW240" s="16115"/>
      <c r="EX240" s="16115"/>
      <c r="EY240" s="2519" t="s">
        <v>620</v>
      </c>
      <c r="EZ240" s="2199"/>
      <c r="FA240" s="2512"/>
      <c r="FB240" s="2512" t="str">
        <f t="shared" si="4"/>
        <v>Группа потребителей</v>
      </c>
      <c r="FC240" s="2512"/>
      <c r="FD240" s="2512"/>
    </row>
    <row r="241" spans="1:160" s="15342" customFormat="1" ht="23.25" customHeight="1">
      <c r="A241" s="2502"/>
      <c r="B241" s="2502"/>
      <c r="C241" s="2502"/>
      <c r="D241" s="2502"/>
      <c r="E241" s="16125"/>
      <c r="F241" s="16125" t="s">
        <v>92</v>
      </c>
      <c r="G241" s="16125"/>
      <c r="H241" s="16125"/>
      <c r="I241" s="16145"/>
      <c r="J241" s="16145"/>
      <c r="K241" s="16122" t="str">
        <f>J240&amp;".1"</f>
        <v>2.8.1.1.1.1</v>
      </c>
      <c r="L241" s="2503"/>
      <c r="M241" s="2513"/>
      <c r="N241" s="2513"/>
      <c r="O241" s="2513"/>
      <c r="P241" s="16123"/>
      <c r="Q241" s="16123"/>
      <c r="R241" s="2517">
        <v>1</v>
      </c>
      <c r="S241" s="2508" t="str">
        <f>$K241</f>
        <v>2.8.1.1.1.1</v>
      </c>
      <c r="T241" s="2520"/>
      <c r="U241" s="2510"/>
      <c r="V241" s="1893"/>
      <c r="W241" s="1893"/>
      <c r="X241" s="1893"/>
      <c r="Y241" s="1893"/>
      <c r="Z241" s="1893"/>
      <c r="AA241" s="1893"/>
      <c r="AB241" s="1893"/>
      <c r="AC241" s="16127"/>
      <c r="AD241" s="15973" t="s">
        <v>66</v>
      </c>
      <c r="AE241" s="16127"/>
      <c r="AF241" s="15973" t="s">
        <v>66</v>
      </c>
      <c r="AG241" s="1893">
        <v>26.75</v>
      </c>
      <c r="AH241" s="1893"/>
      <c r="AI241" s="1893"/>
      <c r="AJ241" s="1893"/>
      <c r="AK241" s="1893">
        <v>3619.76</v>
      </c>
      <c r="AL241" s="1893"/>
      <c r="AM241" s="1893"/>
      <c r="AN241" s="16127">
        <v>45292</v>
      </c>
      <c r="AO241" s="15973" t="s">
        <v>66</v>
      </c>
      <c r="AP241" s="16146">
        <v>45378</v>
      </c>
      <c r="AQ241" s="15973" t="s">
        <v>66</v>
      </c>
      <c r="AR241" s="1893">
        <v>26.75</v>
      </c>
      <c r="AS241" s="1893"/>
      <c r="AT241" s="1893"/>
      <c r="AU241" s="1893"/>
      <c r="AV241" s="1893">
        <v>3619.76</v>
      </c>
      <c r="AW241" s="1893"/>
      <c r="AX241" s="1893"/>
      <c r="AY241" s="16127">
        <v>45379</v>
      </c>
      <c r="AZ241" s="15973" t="s">
        <v>66</v>
      </c>
      <c r="BA241" s="16127">
        <v>45473</v>
      </c>
      <c r="BB241" s="15973" t="s">
        <v>66</v>
      </c>
      <c r="BC241" s="1893">
        <v>33</v>
      </c>
      <c r="BD241" s="1893"/>
      <c r="BE241" s="1893"/>
      <c r="BF241" s="1893"/>
      <c r="BG241" s="1893">
        <v>7610.75</v>
      </c>
      <c r="BH241" s="1893"/>
      <c r="BI241" s="1893"/>
      <c r="BJ241" s="16127">
        <v>45474</v>
      </c>
      <c r="BK241" s="15973" t="s">
        <v>66</v>
      </c>
      <c r="BL241" s="16127">
        <v>45657</v>
      </c>
      <c r="BM241" s="15973" t="s">
        <v>66</v>
      </c>
      <c r="BN241" s="1893">
        <v>28.77</v>
      </c>
      <c r="BO241" s="1893"/>
      <c r="BP241" s="1893"/>
      <c r="BQ241" s="1893"/>
      <c r="BR241" s="1893">
        <v>5407.73</v>
      </c>
      <c r="BS241" s="1893"/>
      <c r="BT241" s="1893"/>
      <c r="BU241" s="16127">
        <v>45658</v>
      </c>
      <c r="BV241" s="15973" t="s">
        <v>66</v>
      </c>
      <c r="BW241" s="16127">
        <v>45838</v>
      </c>
      <c r="BX241" s="15973" t="s">
        <v>66</v>
      </c>
      <c r="BY241" s="1893">
        <v>28.77</v>
      </c>
      <c r="BZ241" s="1893"/>
      <c r="CA241" s="1893"/>
      <c r="CB241" s="1893"/>
      <c r="CC241" s="1893">
        <v>5407.73</v>
      </c>
      <c r="CD241" s="1893"/>
      <c r="CE241" s="1893"/>
      <c r="CF241" s="16127">
        <v>45839</v>
      </c>
      <c r="CG241" s="15973" t="s">
        <v>66</v>
      </c>
      <c r="CH241" s="16127">
        <v>46022</v>
      </c>
      <c r="CI241" s="15973" t="s">
        <v>66</v>
      </c>
      <c r="CJ241" s="1893">
        <v>28.77</v>
      </c>
      <c r="CK241" s="1893"/>
      <c r="CL241" s="1893"/>
      <c r="CM241" s="1893"/>
      <c r="CN241" s="1893">
        <v>5407.73</v>
      </c>
      <c r="CO241" s="1893"/>
      <c r="CP241" s="1893"/>
      <c r="CQ241" s="16127">
        <v>46023</v>
      </c>
      <c r="CR241" s="15973" t="s">
        <v>66</v>
      </c>
      <c r="CS241" s="16127">
        <v>46203</v>
      </c>
      <c r="CT241" s="15973" t="s">
        <v>66</v>
      </c>
      <c r="CU241" s="1893">
        <v>30.54</v>
      </c>
      <c r="CV241" s="1893"/>
      <c r="CW241" s="1893"/>
      <c r="CX241" s="1893"/>
      <c r="CY241" s="1893">
        <v>5682.55</v>
      </c>
      <c r="CZ241" s="1893"/>
      <c r="DA241" s="1893"/>
      <c r="DB241" s="16127">
        <v>46204</v>
      </c>
      <c r="DC241" s="15973" t="s">
        <v>66</v>
      </c>
      <c r="DD241" s="16127">
        <v>46387</v>
      </c>
      <c r="DE241" s="15973" t="s">
        <v>66</v>
      </c>
      <c r="DF241" s="1893">
        <v>30.54</v>
      </c>
      <c r="DG241" s="1893"/>
      <c r="DH241" s="1893"/>
      <c r="DI241" s="1893"/>
      <c r="DJ241" s="1893">
        <v>5674.41</v>
      </c>
      <c r="DK241" s="1893"/>
      <c r="DL241" s="1893"/>
      <c r="DM241" s="16127">
        <v>46388</v>
      </c>
      <c r="DN241" s="15973" t="s">
        <v>66</v>
      </c>
      <c r="DO241" s="16127">
        <v>46568</v>
      </c>
      <c r="DP241" s="15973" t="s">
        <v>66</v>
      </c>
      <c r="DQ241" s="1893">
        <v>30.6</v>
      </c>
      <c r="DR241" s="1893"/>
      <c r="DS241" s="1893"/>
      <c r="DT241" s="1893"/>
      <c r="DU241" s="1893">
        <v>5674.41</v>
      </c>
      <c r="DV241" s="1893"/>
      <c r="DW241" s="1893"/>
      <c r="DX241" s="16127">
        <v>46569</v>
      </c>
      <c r="DY241" s="15973" t="s">
        <v>66</v>
      </c>
      <c r="DZ241" s="16127">
        <v>46752</v>
      </c>
      <c r="EA241" s="15973" t="s">
        <v>66</v>
      </c>
      <c r="EB241" s="1893">
        <v>30.6</v>
      </c>
      <c r="EC241" s="1893"/>
      <c r="ED241" s="1893"/>
      <c r="EE241" s="1893"/>
      <c r="EF241" s="1893">
        <v>5674.41</v>
      </c>
      <c r="EG241" s="1893"/>
      <c r="EH241" s="1893"/>
      <c r="EI241" s="16127">
        <v>46753</v>
      </c>
      <c r="EJ241" s="15973" t="s">
        <v>66</v>
      </c>
      <c r="EK241" s="16127">
        <v>46934</v>
      </c>
      <c r="EL241" s="15973" t="s">
        <v>66</v>
      </c>
      <c r="EM241" s="14448">
        <v>31.82</v>
      </c>
      <c r="EN241" s="14448"/>
      <c r="EO241" s="14448"/>
      <c r="EP241" s="14448"/>
      <c r="EQ241" s="14448">
        <v>5990.69</v>
      </c>
      <c r="ER241" s="14448"/>
      <c r="ES241" s="14448"/>
      <c r="ET241" s="16127">
        <v>46935</v>
      </c>
      <c r="EU241" s="15973" t="s">
        <v>66</v>
      </c>
      <c r="EV241" s="16127">
        <v>47118</v>
      </c>
      <c r="EW241" s="15973" t="s">
        <v>66</v>
      </c>
      <c r="EX241" s="2521"/>
      <c r="EY24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41" s="2199" t="e">
        <f ca="1">STRCHECKDATE(V242:EX242)</f>
        <v>#NAME?</v>
      </c>
      <c r="FA241" s="2512"/>
      <c r="FB241" s="2512" t="str">
        <f t="shared" si="4"/>
        <v/>
      </c>
      <c r="FC241" s="2512"/>
      <c r="FD241" s="2512"/>
    </row>
    <row r="242" spans="1:160" s="15343" customFormat="1" ht="14.25" customHeight="1">
      <c r="A242" s="2502"/>
      <c r="B242" s="2502"/>
      <c r="C242" s="2502"/>
      <c r="D242" s="2502"/>
      <c r="E242" s="16125"/>
      <c r="F242" s="16125" t="s">
        <v>92</v>
      </c>
      <c r="G242" s="16125"/>
      <c r="H242" s="16125"/>
      <c r="I242" s="16145"/>
      <c r="J242" s="16145"/>
      <c r="K242" s="16122"/>
      <c r="L242" s="2503"/>
      <c r="M242" s="2513"/>
      <c r="N242" s="2513"/>
      <c r="O242" s="2513"/>
      <c r="P242" s="16123"/>
      <c r="Q242" s="16123"/>
      <c r="R242" s="2517"/>
      <c r="S242" s="2522"/>
      <c r="T242" s="2510"/>
      <c r="U242" s="2510"/>
      <c r="V242" s="1894"/>
      <c r="W242" s="1894"/>
      <c r="X242" s="1894"/>
      <c r="Y242" s="1894"/>
      <c r="Z242" s="1894"/>
      <c r="AA242" s="1894"/>
      <c r="AB242" s="1894"/>
      <c r="AC242" s="16128"/>
      <c r="AD242" s="15973"/>
      <c r="AE242" s="16128"/>
      <c r="AF242" s="15973"/>
      <c r="AG242" s="1894"/>
      <c r="AH242" s="1894"/>
      <c r="AI242" s="1894"/>
      <c r="AJ242" s="1894"/>
      <c r="AK242" s="1894"/>
      <c r="AL242" s="1894"/>
      <c r="AM242" s="1894"/>
      <c r="AN242" s="16128"/>
      <c r="AO242" s="15973"/>
      <c r="AP242" s="16147"/>
      <c r="AQ242" s="15973"/>
      <c r="AR242" s="1894"/>
      <c r="AS242" s="1894"/>
      <c r="AT242" s="1894"/>
      <c r="AU242" s="1894"/>
      <c r="AV242" s="1894"/>
      <c r="AW242" s="1894"/>
      <c r="AX242" s="1894"/>
      <c r="AY242" s="16128"/>
      <c r="AZ242" s="15973"/>
      <c r="BA242" s="16128"/>
      <c r="BB242" s="15973"/>
      <c r="BC242" s="1894"/>
      <c r="BD242" s="1894"/>
      <c r="BE242" s="1894"/>
      <c r="BF242" s="1894"/>
      <c r="BG242" s="1894"/>
      <c r="BH242" s="1894"/>
      <c r="BI242" s="1894"/>
      <c r="BJ242" s="16128"/>
      <c r="BK242" s="15973"/>
      <c r="BL242" s="16128"/>
      <c r="BM242" s="15973"/>
      <c r="BN242" s="1894"/>
      <c r="BO242" s="1894"/>
      <c r="BP242" s="1894"/>
      <c r="BQ242" s="1894"/>
      <c r="BR242" s="1894"/>
      <c r="BS242" s="1894"/>
      <c r="BT242" s="1894"/>
      <c r="BU242" s="16128"/>
      <c r="BV242" s="15973"/>
      <c r="BW242" s="16128"/>
      <c r="BX242" s="15973"/>
      <c r="BY242" s="1894"/>
      <c r="BZ242" s="1894"/>
      <c r="CA242" s="1894"/>
      <c r="CB242" s="1894"/>
      <c r="CC242" s="1894"/>
      <c r="CD242" s="1894"/>
      <c r="CE242" s="1894"/>
      <c r="CF242" s="16128"/>
      <c r="CG242" s="15973"/>
      <c r="CH242" s="16128"/>
      <c r="CI242" s="15973"/>
      <c r="CJ242" s="1894"/>
      <c r="CK242" s="1894"/>
      <c r="CL242" s="1894"/>
      <c r="CM242" s="1894"/>
      <c r="CN242" s="1894"/>
      <c r="CO242" s="1894"/>
      <c r="CP242" s="1894"/>
      <c r="CQ242" s="16128"/>
      <c r="CR242" s="15973"/>
      <c r="CS242" s="16128"/>
      <c r="CT242" s="15973"/>
      <c r="CU242" s="1894"/>
      <c r="CV242" s="1894"/>
      <c r="CW242" s="1894"/>
      <c r="CX242" s="1894"/>
      <c r="CY242" s="1894"/>
      <c r="CZ242" s="1894"/>
      <c r="DA242" s="1894"/>
      <c r="DB242" s="16128"/>
      <c r="DC242" s="15973"/>
      <c r="DD242" s="16128"/>
      <c r="DE242" s="15973"/>
      <c r="DF242" s="1894"/>
      <c r="DG242" s="1894"/>
      <c r="DH242" s="1894"/>
      <c r="DI242" s="1894"/>
      <c r="DJ242" s="1894"/>
      <c r="DK242" s="1894"/>
      <c r="DL242" s="1894"/>
      <c r="DM242" s="16128"/>
      <c r="DN242" s="15973"/>
      <c r="DO242" s="16128"/>
      <c r="DP242" s="15973"/>
      <c r="DQ242" s="1894"/>
      <c r="DR242" s="1894"/>
      <c r="DS242" s="1894"/>
      <c r="DT242" s="1894"/>
      <c r="DU242" s="1894"/>
      <c r="DV242" s="1894"/>
      <c r="DW242" s="1894"/>
      <c r="DX242" s="16128"/>
      <c r="DY242" s="15973"/>
      <c r="DZ242" s="16128"/>
      <c r="EA242" s="15973"/>
      <c r="EB242" s="1894"/>
      <c r="EC242" s="1894"/>
      <c r="ED242" s="1894"/>
      <c r="EE242" s="1894"/>
      <c r="EF242" s="1894"/>
      <c r="EG242" s="1894"/>
      <c r="EH242" s="1894"/>
      <c r="EI242" s="16128"/>
      <c r="EJ242" s="15973"/>
      <c r="EK242" s="16128"/>
      <c r="EL242" s="15973"/>
      <c r="EM242" s="14449"/>
      <c r="EN242" s="14449"/>
      <c r="EO242" s="14449"/>
      <c r="EP242" s="14449"/>
      <c r="EQ242" s="14449"/>
      <c r="ER242" s="14449"/>
      <c r="ES242" s="14449"/>
      <c r="ET242" s="16128"/>
      <c r="EU242" s="15973"/>
      <c r="EV242" s="16128"/>
      <c r="EW242" s="15973"/>
      <c r="EX242" s="2523"/>
      <c r="EY242" s="16182"/>
      <c r="EZ242" s="2199"/>
      <c r="FA242" s="2512"/>
      <c r="FB242" s="2512" t="str">
        <f t="shared" si="4"/>
        <v/>
      </c>
      <c r="FC242" s="2512"/>
      <c r="FD242" s="2512"/>
    </row>
    <row r="243" spans="1:160" s="15344" customFormat="1" ht="21" customHeight="1">
      <c r="A243" s="2502"/>
      <c r="B243" s="2502"/>
      <c r="C243" s="2502"/>
      <c r="D243" s="2502"/>
      <c r="E243" s="16125"/>
      <c r="F243" s="16125" t="s">
        <v>92</v>
      </c>
      <c r="G243" s="16125"/>
      <c r="H243" s="16125"/>
      <c r="I243" s="16145"/>
      <c r="J243" s="16122"/>
      <c r="K243" s="2502"/>
      <c r="L243" s="2503"/>
      <c r="M243" s="2513"/>
      <c r="N243" s="2513"/>
      <c r="O243" s="2513"/>
      <c r="P243" s="16123"/>
      <c r="Q243" s="16123"/>
      <c r="R243" s="2515"/>
      <c r="S243" s="9701"/>
      <c r="T243" s="9702" t="s">
        <v>621</v>
      </c>
      <c r="U243" s="9703"/>
      <c r="V243" s="9704"/>
      <c r="W243" s="9705"/>
      <c r="X243" s="9706"/>
      <c r="Y243" s="9707"/>
      <c r="Z243" s="9708"/>
      <c r="AA243" s="9709"/>
      <c r="AB243" s="9710"/>
      <c r="AC243" s="9711"/>
      <c r="AD243" s="9712"/>
      <c r="AE243" s="9713"/>
      <c r="AF243" s="9714"/>
      <c r="AG243" s="9715"/>
      <c r="AH243" s="9716"/>
      <c r="AI243" s="9717"/>
      <c r="AJ243" s="9718"/>
      <c r="AK243" s="9719"/>
      <c r="AL243" s="9720"/>
      <c r="AM243" s="9721"/>
      <c r="AN243" s="9722"/>
      <c r="AO243" s="9723"/>
      <c r="AP243" s="9724"/>
      <c r="AQ243" s="9725"/>
      <c r="AR243" s="9726"/>
      <c r="AS243" s="9727"/>
      <c r="AT243" s="9728"/>
      <c r="AU243" s="9729"/>
      <c r="AV243" s="9730"/>
      <c r="AW243" s="9731"/>
      <c r="AX243" s="9732"/>
      <c r="AY243" s="9733"/>
      <c r="AZ243" s="9734"/>
      <c r="BA243" s="9735"/>
      <c r="BB243" s="9736"/>
      <c r="BC243" s="9737"/>
      <c r="BD243" s="9738"/>
      <c r="BE243" s="9739"/>
      <c r="BF243" s="9740"/>
      <c r="BG243" s="9741"/>
      <c r="BH243" s="9742"/>
      <c r="BI243" s="9743"/>
      <c r="BJ243" s="9744"/>
      <c r="BK243" s="9745"/>
      <c r="BL243" s="9746"/>
      <c r="BM243" s="9747"/>
      <c r="BN243" s="9748"/>
      <c r="BO243" s="9749"/>
      <c r="BP243" s="9750"/>
      <c r="BQ243" s="9751"/>
      <c r="BR243" s="9752"/>
      <c r="BS243" s="9753"/>
      <c r="BT243" s="9754"/>
      <c r="BU243" s="9755"/>
      <c r="BV243" s="9756"/>
      <c r="BW243" s="9757"/>
      <c r="BX243" s="9758"/>
      <c r="BY243" s="9759"/>
      <c r="BZ243" s="9760"/>
      <c r="CA243" s="9761"/>
      <c r="CB243" s="9762"/>
      <c r="CC243" s="9763"/>
      <c r="CD243" s="9764"/>
      <c r="CE243" s="9765"/>
      <c r="CF243" s="9766"/>
      <c r="CG243" s="9767"/>
      <c r="CH243" s="9768"/>
      <c r="CI243" s="9769"/>
      <c r="CJ243" s="9770"/>
      <c r="CK243" s="9771"/>
      <c r="CL243" s="9772"/>
      <c r="CM243" s="9773"/>
      <c r="CN243" s="9774"/>
      <c r="CO243" s="9775"/>
      <c r="CP243" s="9776"/>
      <c r="CQ243" s="9777"/>
      <c r="CR243" s="9778"/>
      <c r="CS243" s="9779"/>
      <c r="CT243" s="9780"/>
      <c r="CU243" s="9781"/>
      <c r="CV243" s="9782"/>
      <c r="CW243" s="9783"/>
      <c r="CX243" s="9784"/>
      <c r="CY243" s="9785"/>
      <c r="CZ243" s="9786"/>
      <c r="DA243" s="9787"/>
      <c r="DB243" s="9788"/>
      <c r="DC243" s="9789"/>
      <c r="DD243" s="9790"/>
      <c r="DE243" s="9791"/>
      <c r="DF243" s="9792"/>
      <c r="DG243" s="9793"/>
      <c r="DH243" s="9794"/>
      <c r="DI243" s="9795"/>
      <c r="DJ243" s="9796"/>
      <c r="DK243" s="9797"/>
      <c r="DL243" s="9798"/>
      <c r="DM243" s="9799"/>
      <c r="DN243" s="9800"/>
      <c r="DO243" s="9801"/>
      <c r="DP243" s="9802"/>
      <c r="DQ243" s="9803"/>
      <c r="DR243" s="9804"/>
      <c r="DS243" s="9805"/>
      <c r="DT243" s="9806"/>
      <c r="DU243" s="9807"/>
      <c r="DV243" s="9808"/>
      <c r="DW243" s="9809"/>
      <c r="DX243" s="9810"/>
      <c r="DY243" s="9811"/>
      <c r="DZ243" s="9812"/>
      <c r="EA243" s="9813"/>
      <c r="EB243" s="9814"/>
      <c r="EC243" s="9815"/>
      <c r="ED243" s="9816"/>
      <c r="EE243" s="9817"/>
      <c r="EF243" s="9818"/>
      <c r="EG243" s="9819"/>
      <c r="EH243" s="9820"/>
      <c r="EI243" s="9821"/>
      <c r="EJ243" s="9822"/>
      <c r="EK243" s="9823"/>
      <c r="EL243" s="9824"/>
      <c r="EM243" s="15345"/>
      <c r="EN243" s="15346"/>
      <c r="EO243" s="15347"/>
      <c r="EP243" s="15348"/>
      <c r="EQ243" s="15349"/>
      <c r="ER243" s="15350"/>
      <c r="ES243" s="15351"/>
      <c r="ET243" s="15352"/>
      <c r="EU243" s="15353"/>
      <c r="EV243" s="15354"/>
      <c r="EW243" s="15355"/>
      <c r="EX243" s="9825"/>
      <c r="EY243" s="2511" t="s">
        <v>622</v>
      </c>
      <c r="EZ243" s="2199"/>
      <c r="FA243" s="2512"/>
      <c r="FB243" s="2512" t="str">
        <f t="shared" si="4"/>
        <v>Добавить значение признака дифференциации</v>
      </c>
      <c r="FC243" s="2512"/>
      <c r="FD243" s="2512"/>
    </row>
    <row r="244" spans="1:160" s="15356" customFormat="1" ht="21" customHeight="1">
      <c r="A244" s="2502"/>
      <c r="B244" s="2502"/>
      <c r="C244" s="2502"/>
      <c r="D244" s="2502"/>
      <c r="E244" s="16125"/>
      <c r="F244" s="16125" t="s">
        <v>92</v>
      </c>
      <c r="G244" s="16125"/>
      <c r="H244" s="16125"/>
      <c r="I244" s="16122"/>
      <c r="J244" s="2502"/>
      <c r="K244" s="2502"/>
      <c r="L244" s="2503"/>
      <c r="M244" s="2513"/>
      <c r="N244" s="2513"/>
      <c r="O244" s="2513"/>
      <c r="P244" s="16123"/>
      <c r="Q244" s="2514"/>
      <c r="R244" s="2515"/>
      <c r="S244" s="9826"/>
      <c r="T244" s="9827" t="s">
        <v>549</v>
      </c>
      <c r="U244" s="9828"/>
      <c r="V244" s="9829"/>
      <c r="W244" s="9830"/>
      <c r="X244" s="9831"/>
      <c r="Y244" s="9832"/>
      <c r="Z244" s="9833"/>
      <c r="AA244" s="9834"/>
      <c r="AB244" s="9835"/>
      <c r="AC244" s="9836"/>
      <c r="AD244" s="9837"/>
      <c r="AE244" s="9838"/>
      <c r="AF244" s="9839"/>
      <c r="AG244" s="9840"/>
      <c r="AH244" s="9841"/>
      <c r="AI244" s="9842"/>
      <c r="AJ244" s="9843"/>
      <c r="AK244" s="9844"/>
      <c r="AL244" s="9845"/>
      <c r="AM244" s="9846"/>
      <c r="AN244" s="9847"/>
      <c r="AO244" s="9848"/>
      <c r="AP244" s="9849"/>
      <c r="AQ244" s="9850"/>
      <c r="AR244" s="9851"/>
      <c r="AS244" s="9852"/>
      <c r="AT244" s="9853"/>
      <c r="AU244" s="9854"/>
      <c r="AV244" s="9855"/>
      <c r="AW244" s="9856"/>
      <c r="AX244" s="9857"/>
      <c r="AY244" s="9858"/>
      <c r="AZ244" s="9859"/>
      <c r="BA244" s="9860"/>
      <c r="BB244" s="9861"/>
      <c r="BC244" s="9862"/>
      <c r="BD244" s="9863"/>
      <c r="BE244" s="9864"/>
      <c r="BF244" s="9865"/>
      <c r="BG244" s="9866"/>
      <c r="BH244" s="9867"/>
      <c r="BI244" s="9868"/>
      <c r="BJ244" s="9869"/>
      <c r="BK244" s="9870"/>
      <c r="BL244" s="9871"/>
      <c r="BM244" s="9872"/>
      <c r="BN244" s="9873"/>
      <c r="BO244" s="9874"/>
      <c r="BP244" s="9875"/>
      <c r="BQ244" s="9876"/>
      <c r="BR244" s="9877"/>
      <c r="BS244" s="9878"/>
      <c r="BT244" s="9879"/>
      <c r="BU244" s="9880"/>
      <c r="BV244" s="9881"/>
      <c r="BW244" s="9882"/>
      <c r="BX244" s="9883"/>
      <c r="BY244" s="9884"/>
      <c r="BZ244" s="9885"/>
      <c r="CA244" s="9886"/>
      <c r="CB244" s="9887"/>
      <c r="CC244" s="9888"/>
      <c r="CD244" s="9889"/>
      <c r="CE244" s="9890"/>
      <c r="CF244" s="9891"/>
      <c r="CG244" s="9892"/>
      <c r="CH244" s="9893"/>
      <c r="CI244" s="9894"/>
      <c r="CJ244" s="9895"/>
      <c r="CK244" s="9896"/>
      <c r="CL244" s="9897"/>
      <c r="CM244" s="9898"/>
      <c r="CN244" s="9899"/>
      <c r="CO244" s="9900"/>
      <c r="CP244" s="9901"/>
      <c r="CQ244" s="9902"/>
      <c r="CR244" s="9903"/>
      <c r="CS244" s="9904"/>
      <c r="CT244" s="9905"/>
      <c r="CU244" s="9906"/>
      <c r="CV244" s="9907"/>
      <c r="CW244" s="9908"/>
      <c r="CX244" s="9909"/>
      <c r="CY244" s="9910"/>
      <c r="CZ244" s="9911"/>
      <c r="DA244" s="9912"/>
      <c r="DB244" s="9913"/>
      <c r="DC244" s="9914"/>
      <c r="DD244" s="9915"/>
      <c r="DE244" s="9916"/>
      <c r="DF244" s="9917"/>
      <c r="DG244" s="9918"/>
      <c r="DH244" s="9919"/>
      <c r="DI244" s="9920"/>
      <c r="DJ244" s="9921"/>
      <c r="DK244" s="9922"/>
      <c r="DL244" s="9923"/>
      <c r="DM244" s="9924"/>
      <c r="DN244" s="9925"/>
      <c r="DO244" s="9926"/>
      <c r="DP244" s="9927"/>
      <c r="DQ244" s="9928"/>
      <c r="DR244" s="9929"/>
      <c r="DS244" s="9930"/>
      <c r="DT244" s="9931"/>
      <c r="DU244" s="9932"/>
      <c r="DV244" s="9933"/>
      <c r="DW244" s="9934"/>
      <c r="DX244" s="9935"/>
      <c r="DY244" s="9936"/>
      <c r="DZ244" s="9937"/>
      <c r="EA244" s="9938"/>
      <c r="EB244" s="9939"/>
      <c r="EC244" s="9940"/>
      <c r="ED244" s="9941"/>
      <c r="EE244" s="9942"/>
      <c r="EF244" s="9943"/>
      <c r="EG244" s="9944"/>
      <c r="EH244" s="9945"/>
      <c r="EI244" s="9946"/>
      <c r="EJ244" s="9947"/>
      <c r="EK244" s="9948"/>
      <c r="EL244" s="9949"/>
      <c r="EM244" s="15357"/>
      <c r="EN244" s="15358"/>
      <c r="EO244" s="15359"/>
      <c r="EP244" s="15360"/>
      <c r="EQ244" s="15361"/>
      <c r="ER244" s="15362"/>
      <c r="ES244" s="15363"/>
      <c r="ET244" s="15364"/>
      <c r="EU244" s="15365"/>
      <c r="EV244" s="15366"/>
      <c r="EW244" s="15367"/>
      <c r="EX244" s="9950"/>
      <c r="EY244" s="9951"/>
      <c r="EZ244" s="2199"/>
      <c r="FA244" s="2512"/>
      <c r="FB244" s="2512" t="str">
        <f t="shared" si="4"/>
        <v>Добавить группу потребителей</v>
      </c>
      <c r="FC244" s="2512"/>
      <c r="FD244" s="2512"/>
    </row>
    <row r="245" spans="1:160" s="15368" customFormat="1" ht="21" customHeight="1">
      <c r="A245" s="2502"/>
      <c r="B245" s="2502"/>
      <c r="C245" s="2502"/>
      <c r="D245" s="2502"/>
      <c r="E245" s="16125"/>
      <c r="F245" s="16125" t="s">
        <v>92</v>
      </c>
      <c r="G245" s="16125"/>
      <c r="H245" s="16124"/>
      <c r="I245" s="2502"/>
      <c r="J245" s="2502"/>
      <c r="K245" s="2502"/>
      <c r="L245" s="2503"/>
      <c r="M245" s="2504"/>
      <c r="N245" s="2504"/>
      <c r="O245" s="2193"/>
      <c r="P245" s="2775"/>
      <c r="Q245" s="2776"/>
      <c r="R245" s="2777"/>
      <c r="S245" s="9952"/>
      <c r="T245" s="9953" t="s">
        <v>623</v>
      </c>
      <c r="U245" s="9954"/>
      <c r="V245" s="9955"/>
      <c r="W245" s="9956"/>
      <c r="X245" s="9957"/>
      <c r="Y245" s="9958"/>
      <c r="Z245" s="9959"/>
      <c r="AA245" s="9960"/>
      <c r="AB245" s="9961"/>
      <c r="AC245" s="9962"/>
      <c r="AD245" s="9963"/>
      <c r="AE245" s="9964"/>
      <c r="AF245" s="9965"/>
      <c r="AG245" s="9966"/>
      <c r="AH245" s="9967"/>
      <c r="AI245" s="9968"/>
      <c r="AJ245" s="9969"/>
      <c r="AK245" s="9970"/>
      <c r="AL245" s="9971"/>
      <c r="AM245" s="9972"/>
      <c r="AN245" s="9973"/>
      <c r="AO245" s="9974"/>
      <c r="AP245" s="9975"/>
      <c r="AQ245" s="9976"/>
      <c r="AR245" s="9977"/>
      <c r="AS245" s="9978"/>
      <c r="AT245" s="9979"/>
      <c r="AU245" s="9980"/>
      <c r="AV245" s="9981"/>
      <c r="AW245" s="9982"/>
      <c r="AX245" s="9983"/>
      <c r="AY245" s="9984"/>
      <c r="AZ245" s="9985"/>
      <c r="BA245" s="9986"/>
      <c r="BB245" s="9987"/>
      <c r="BC245" s="9988"/>
      <c r="BD245" s="9989"/>
      <c r="BE245" s="9990"/>
      <c r="BF245" s="9991"/>
      <c r="BG245" s="9992"/>
      <c r="BH245" s="9993"/>
      <c r="BI245" s="9994"/>
      <c r="BJ245" s="9995"/>
      <c r="BK245" s="9996"/>
      <c r="BL245" s="9997"/>
      <c r="BM245" s="9998"/>
      <c r="BN245" s="9999"/>
      <c r="BO245" s="10000"/>
      <c r="BP245" s="10001"/>
      <c r="BQ245" s="10002"/>
      <c r="BR245" s="10003"/>
      <c r="BS245" s="10004"/>
      <c r="BT245" s="10005"/>
      <c r="BU245" s="10006"/>
      <c r="BV245" s="10007"/>
      <c r="BW245" s="10008"/>
      <c r="BX245" s="10009"/>
      <c r="BY245" s="10010"/>
      <c r="BZ245" s="10011"/>
      <c r="CA245" s="10012"/>
      <c r="CB245" s="10013"/>
      <c r="CC245" s="10014"/>
      <c r="CD245" s="10015"/>
      <c r="CE245" s="10016"/>
      <c r="CF245" s="10017"/>
      <c r="CG245" s="10018"/>
      <c r="CH245" s="10019"/>
      <c r="CI245" s="10020"/>
      <c r="CJ245" s="10021"/>
      <c r="CK245" s="10022"/>
      <c r="CL245" s="10023"/>
      <c r="CM245" s="10024"/>
      <c r="CN245" s="10025"/>
      <c r="CO245" s="10026"/>
      <c r="CP245" s="10027"/>
      <c r="CQ245" s="10028"/>
      <c r="CR245" s="10029"/>
      <c r="CS245" s="10030"/>
      <c r="CT245" s="10031"/>
      <c r="CU245" s="10032"/>
      <c r="CV245" s="10033"/>
      <c r="CW245" s="10034"/>
      <c r="CX245" s="10035"/>
      <c r="CY245" s="10036"/>
      <c r="CZ245" s="10037"/>
      <c r="DA245" s="10038"/>
      <c r="DB245" s="10039"/>
      <c r="DC245" s="10040"/>
      <c r="DD245" s="10041"/>
      <c r="DE245" s="10042"/>
      <c r="DF245" s="10043"/>
      <c r="DG245" s="10044"/>
      <c r="DH245" s="10045"/>
      <c r="DI245" s="10046"/>
      <c r="DJ245" s="10047"/>
      <c r="DK245" s="10048"/>
      <c r="DL245" s="10049"/>
      <c r="DM245" s="10050"/>
      <c r="DN245" s="10051"/>
      <c r="DO245" s="10052"/>
      <c r="DP245" s="10053"/>
      <c r="DQ245" s="10054"/>
      <c r="DR245" s="10055"/>
      <c r="DS245" s="10056"/>
      <c r="DT245" s="10057"/>
      <c r="DU245" s="10058"/>
      <c r="DV245" s="10059"/>
      <c r="DW245" s="10060"/>
      <c r="DX245" s="10061"/>
      <c r="DY245" s="10062"/>
      <c r="DZ245" s="10063"/>
      <c r="EA245" s="10064"/>
      <c r="EB245" s="10065"/>
      <c r="EC245" s="10066"/>
      <c r="ED245" s="10067"/>
      <c r="EE245" s="10068"/>
      <c r="EF245" s="10069"/>
      <c r="EG245" s="10070"/>
      <c r="EH245" s="10071"/>
      <c r="EI245" s="10072"/>
      <c r="EJ245" s="10073"/>
      <c r="EK245" s="10074"/>
      <c r="EL245" s="10075"/>
      <c r="EM245" s="15369"/>
      <c r="EN245" s="15370"/>
      <c r="EO245" s="15371"/>
      <c r="EP245" s="15372"/>
      <c r="EQ245" s="15373"/>
      <c r="ER245" s="15374"/>
      <c r="ES245" s="15375"/>
      <c r="ET245" s="15376"/>
      <c r="EU245" s="15377"/>
      <c r="EV245" s="15378"/>
      <c r="EW245" s="15379"/>
      <c r="EX245" s="10076"/>
      <c r="EY245" s="10077"/>
      <c r="EZ245" s="2199"/>
      <c r="FA245" s="2512"/>
      <c r="FB245" s="2512" t="str">
        <f t="shared" si="4"/>
        <v>Добавить наименование признака дифференциации</v>
      </c>
      <c r="FC245" s="2512"/>
      <c r="FD245" s="2512"/>
    </row>
    <row r="246" spans="1:160" s="15380" customFormat="1" ht="14.25" customHeight="1">
      <c r="A246" s="3283"/>
      <c r="B246" s="3283"/>
      <c r="C246" s="3283"/>
      <c r="D246" s="3283"/>
      <c r="E246" s="16125"/>
      <c r="F246" s="16124" t="s">
        <v>92</v>
      </c>
      <c r="G246" s="3283"/>
      <c r="H246" s="3283"/>
      <c r="I246" s="3283"/>
      <c r="J246" s="3283"/>
      <c r="K246" s="3283"/>
      <c r="L246" s="3284"/>
      <c r="M246" s="3285"/>
      <c r="N246" s="3285"/>
      <c r="O246" s="2199"/>
      <c r="P246" s="3286"/>
      <c r="Q246" s="3287"/>
      <c r="R246" s="3286"/>
      <c r="S246" s="3288"/>
      <c r="T246" s="3289" t="s">
        <v>290</v>
      </c>
      <c r="U246" s="2192"/>
      <c r="V246" s="2192"/>
      <c r="W246" s="2192"/>
      <c r="X246" s="2192"/>
      <c r="Y246" s="2192"/>
      <c r="Z246" s="2192"/>
      <c r="AA246" s="2192"/>
      <c r="AB246" s="2192"/>
      <c r="AC246" s="2192"/>
      <c r="AD246" s="2192"/>
      <c r="AE246" s="2192"/>
      <c r="AF246" s="2192"/>
      <c r="AG246" s="2192"/>
      <c r="AH246" s="2192"/>
      <c r="AI246" s="2192"/>
      <c r="AJ246" s="2192"/>
      <c r="AK246" s="2192"/>
      <c r="AL246" s="2192"/>
      <c r="AM246" s="2192"/>
      <c r="AN246" s="2192"/>
      <c r="AO246" s="2192"/>
      <c r="AP246" s="2192"/>
      <c r="AQ246" s="2192"/>
      <c r="AR246" s="2192"/>
      <c r="AS246" s="2192"/>
      <c r="AT246" s="2192"/>
      <c r="AU246" s="2192"/>
      <c r="AV246" s="2192"/>
      <c r="AW246" s="2192"/>
      <c r="AX246" s="2192"/>
      <c r="AY246" s="2192"/>
      <c r="AZ246" s="2192"/>
      <c r="BA246" s="2192"/>
      <c r="BB246" s="2192"/>
      <c r="BC246" s="2192"/>
      <c r="BD246" s="2192"/>
      <c r="BE246" s="2192"/>
      <c r="BF246" s="2192"/>
      <c r="BG246" s="2192"/>
      <c r="BH246" s="2192"/>
      <c r="BI246" s="2192"/>
      <c r="BJ246" s="2192"/>
      <c r="BK246" s="2192"/>
      <c r="BL246" s="2192"/>
      <c r="BM246" s="2192"/>
      <c r="BN246" s="2192"/>
      <c r="BO246" s="2192"/>
      <c r="BP246" s="2192"/>
      <c r="BQ246" s="2192"/>
      <c r="BR246" s="2192"/>
      <c r="BS246" s="2192"/>
      <c r="BT246" s="2192"/>
      <c r="BU246" s="2192"/>
      <c r="BV246" s="2192"/>
      <c r="BW246" s="2192"/>
      <c r="BX246" s="2192"/>
      <c r="BY246" s="2192"/>
      <c r="BZ246" s="2192"/>
      <c r="CA246" s="2192"/>
      <c r="CB246" s="2192"/>
      <c r="CC246" s="2192"/>
      <c r="CD246" s="2192"/>
      <c r="CE246" s="2192"/>
      <c r="CF246" s="2192"/>
      <c r="CG246" s="2192"/>
      <c r="CH246" s="2192"/>
      <c r="CI246" s="2192"/>
      <c r="CJ246" s="2192"/>
      <c r="CK246" s="2192"/>
      <c r="CL246" s="2192"/>
      <c r="CM246" s="2192"/>
      <c r="CN246" s="2192"/>
      <c r="CO246" s="2192"/>
      <c r="CP246" s="2192"/>
      <c r="CQ246" s="2192"/>
      <c r="CR246" s="2192"/>
      <c r="CS246" s="2192"/>
      <c r="CT246" s="2192"/>
      <c r="CU246" s="2192"/>
      <c r="CV246" s="2192"/>
      <c r="CW246" s="2192"/>
      <c r="CX246" s="2192"/>
      <c r="CY246" s="2192"/>
      <c r="CZ246" s="2192"/>
      <c r="DA246" s="2192"/>
      <c r="DB246" s="2192"/>
      <c r="DC246" s="2192"/>
      <c r="DD246" s="2192"/>
      <c r="DE246" s="2192"/>
      <c r="DF246" s="2192"/>
      <c r="DG246" s="2192"/>
      <c r="DH246" s="2192"/>
      <c r="DI246" s="2192"/>
      <c r="DJ246" s="2192"/>
      <c r="DK246" s="2192"/>
      <c r="DL246" s="2192"/>
      <c r="DM246" s="2192"/>
      <c r="DN246" s="2192"/>
      <c r="DO246" s="2192"/>
      <c r="DP246" s="2192"/>
      <c r="DQ246" s="2192"/>
      <c r="DR246" s="2192"/>
      <c r="DS246" s="2192"/>
      <c r="DT246" s="2192"/>
      <c r="DU246" s="2192"/>
      <c r="DV246" s="2192"/>
      <c r="DW246" s="2192"/>
      <c r="DX246" s="2192"/>
      <c r="DY246" s="2192"/>
      <c r="DZ246" s="2192"/>
      <c r="EA246" s="2192"/>
      <c r="EB246" s="2192"/>
      <c r="EC246" s="2192"/>
      <c r="ED246" s="2192"/>
      <c r="EE246" s="2192"/>
      <c r="EF246" s="2192"/>
      <c r="EG246" s="2192"/>
      <c r="EH246" s="2192"/>
      <c r="EI246" s="2192"/>
      <c r="EJ246" s="2192"/>
      <c r="EK246" s="2192"/>
      <c r="EL246" s="2192"/>
      <c r="EM246" s="14483"/>
      <c r="EN246" s="14483"/>
      <c r="EO246" s="14483"/>
      <c r="EP246" s="14483"/>
      <c r="EQ246" s="14483"/>
      <c r="ER246" s="14483"/>
      <c r="ES246" s="14483"/>
      <c r="ET246" s="14483"/>
      <c r="EU246" s="14483"/>
      <c r="EV246" s="14483"/>
      <c r="EW246" s="14483"/>
      <c r="EX246" s="2192"/>
      <c r="EY246" s="2192"/>
      <c r="EZ246" s="2199"/>
      <c r="FA246" s="2512"/>
      <c r="FB246" s="2512" t="str">
        <f t="shared" si="4"/>
        <v>Добавить централизованную систему для дифференциации</v>
      </c>
      <c r="FC246" s="2512"/>
      <c r="FD246" s="2512"/>
    </row>
    <row r="247" spans="1:160" s="15381" customFormat="1" ht="23.25" customHeight="1">
      <c r="A247" s="2502"/>
      <c r="B247" s="2502" t="s">
        <v>356</v>
      </c>
      <c r="C247" s="2502"/>
      <c r="D247" s="2502"/>
      <c r="E247" s="16125"/>
      <c r="F247" s="16124" t="s">
        <v>136</v>
      </c>
      <c r="G247" s="2502"/>
      <c r="H247" s="2502"/>
      <c r="I247" s="2502"/>
      <c r="J247" s="2502"/>
      <c r="K247" s="2502"/>
      <c r="L247" s="2503"/>
      <c r="M247" s="2504"/>
      <c r="N247" s="2504"/>
      <c r="O247" s="2504"/>
      <c r="P247" s="2904"/>
      <c r="Q247" s="2506"/>
      <c r="R247" s="2507"/>
      <c r="S247" s="2508" t="str">
        <f>INDEX(PT_DIFFERENTIATION_NUM_TER,MATCH(B247,PT_DIFFERENTIATION_TER_ID,0))</f>
        <v>2.9</v>
      </c>
      <c r="T247" s="2905" t="s">
        <v>534</v>
      </c>
      <c r="U247" s="2510"/>
      <c r="V247" s="16110"/>
      <c r="W247" s="16111"/>
      <c r="X247" s="16111"/>
      <c r="Y247" s="16111"/>
      <c r="Z247" s="16111"/>
      <c r="AA247" s="16111"/>
      <c r="AB247" s="16111"/>
      <c r="AC247" s="16111"/>
      <c r="AD247" s="16111"/>
      <c r="AE247" s="16111"/>
      <c r="AF247" s="16112"/>
      <c r="AG247" s="16110" t="str">
        <f>INDEX(PT_DIFFERENTIATION_TER,MATCH(B247,PT_DIFFERENTIATION_TER_ID,0))</f>
        <v>Территория 9</v>
      </c>
      <c r="AH247" s="16111"/>
      <c r="AI247" s="16111"/>
      <c r="AJ247" s="16111"/>
      <c r="AK247" s="16111"/>
      <c r="AL247" s="16111"/>
      <c r="AM247" s="16111"/>
      <c r="AN247" s="16111"/>
      <c r="AO247" s="16111"/>
      <c r="AP247" s="16111"/>
      <c r="AQ247" s="16111"/>
      <c r="AR247" s="16110"/>
      <c r="AS247" s="16111"/>
      <c r="AT247" s="16111"/>
      <c r="AU247" s="16111"/>
      <c r="AV247" s="16111"/>
      <c r="AW247" s="16111"/>
      <c r="AX247" s="16111"/>
      <c r="AY247" s="16111"/>
      <c r="AZ247" s="16111"/>
      <c r="BA247" s="16111"/>
      <c r="BB247" s="16112"/>
      <c r="BC247" s="16110"/>
      <c r="BD247" s="16111"/>
      <c r="BE247" s="16111"/>
      <c r="BF247" s="16111"/>
      <c r="BG247" s="16111"/>
      <c r="BH247" s="16111"/>
      <c r="BI247" s="16111"/>
      <c r="BJ247" s="16111"/>
      <c r="BK247" s="16111"/>
      <c r="BL247" s="16111"/>
      <c r="BM247" s="16112"/>
      <c r="BN247" s="16110"/>
      <c r="BO247" s="16111"/>
      <c r="BP247" s="16111"/>
      <c r="BQ247" s="16111"/>
      <c r="BR247" s="16111"/>
      <c r="BS247" s="16111"/>
      <c r="BT247" s="16111"/>
      <c r="BU247" s="16111"/>
      <c r="BV247" s="16111"/>
      <c r="BW247" s="16111"/>
      <c r="BX247" s="16112"/>
      <c r="BY247" s="16110"/>
      <c r="BZ247" s="16111"/>
      <c r="CA247" s="16111"/>
      <c r="CB247" s="16111"/>
      <c r="CC247" s="16111"/>
      <c r="CD247" s="16111"/>
      <c r="CE247" s="16111"/>
      <c r="CF247" s="16111"/>
      <c r="CG247" s="16111"/>
      <c r="CH247" s="16111"/>
      <c r="CI247" s="16112"/>
      <c r="CJ247" s="16110"/>
      <c r="CK247" s="16111"/>
      <c r="CL247" s="16111"/>
      <c r="CM247" s="16111"/>
      <c r="CN247" s="16111"/>
      <c r="CO247" s="16111"/>
      <c r="CP247" s="16111"/>
      <c r="CQ247" s="16111"/>
      <c r="CR247" s="16111"/>
      <c r="CS247" s="16111"/>
      <c r="CT247" s="16112"/>
      <c r="CU247" s="16110"/>
      <c r="CV247" s="16111"/>
      <c r="CW247" s="16111"/>
      <c r="CX247" s="16111"/>
      <c r="CY247" s="16111"/>
      <c r="CZ247" s="16111"/>
      <c r="DA247" s="16111"/>
      <c r="DB247" s="16111"/>
      <c r="DC247" s="16111"/>
      <c r="DD247" s="16111"/>
      <c r="DE247" s="16112"/>
      <c r="DF247" s="16110"/>
      <c r="DG247" s="16111"/>
      <c r="DH247" s="16111"/>
      <c r="DI247" s="16111"/>
      <c r="DJ247" s="16111"/>
      <c r="DK247" s="16111"/>
      <c r="DL247" s="16111"/>
      <c r="DM247" s="16111"/>
      <c r="DN247" s="16111"/>
      <c r="DO247" s="16111"/>
      <c r="DP247" s="16112"/>
      <c r="DQ247" s="16110"/>
      <c r="DR247" s="16111"/>
      <c r="DS247" s="16111"/>
      <c r="DT247" s="16111"/>
      <c r="DU247" s="16111"/>
      <c r="DV247" s="16111"/>
      <c r="DW247" s="16111"/>
      <c r="DX247" s="16111"/>
      <c r="DY247" s="16111"/>
      <c r="DZ247" s="16111"/>
      <c r="EA247" s="16112"/>
      <c r="EB247" s="16110"/>
      <c r="EC247" s="16111"/>
      <c r="ED247" s="16111"/>
      <c r="EE247" s="16111"/>
      <c r="EF247" s="16111"/>
      <c r="EG247" s="16111"/>
      <c r="EH247" s="16111"/>
      <c r="EI247" s="16111"/>
      <c r="EJ247" s="16111"/>
      <c r="EK247" s="16111"/>
      <c r="EL247" s="16112"/>
      <c r="EM247" s="16110"/>
      <c r="EN247" s="16111"/>
      <c r="EO247" s="16111"/>
      <c r="EP247" s="16111"/>
      <c r="EQ247" s="16111"/>
      <c r="ER247" s="16111"/>
      <c r="ES247" s="16111"/>
      <c r="ET247" s="16111"/>
      <c r="EU247" s="16111"/>
      <c r="EV247" s="16111"/>
      <c r="EW247" s="16112"/>
      <c r="EX247" s="16112"/>
      <c r="EY247" s="2511" t="s">
        <v>535</v>
      </c>
      <c r="EZ247" s="2199"/>
      <c r="FA247" s="2512"/>
      <c r="FB247" s="2512" t="str">
        <f t="shared" si="4"/>
        <v>Территория действия тарифа</v>
      </c>
      <c r="FC247" s="2512"/>
      <c r="FD247" s="2512"/>
    </row>
    <row r="248" spans="1:160" s="15382" customFormat="1" ht="23.25" customHeight="1">
      <c r="A248" s="2502"/>
      <c r="B248" s="2502"/>
      <c r="C248" s="2502" t="s">
        <v>357</v>
      </c>
      <c r="D248" s="2502"/>
      <c r="E248" s="16125"/>
      <c r="F248" s="16125" t="s">
        <v>132</v>
      </c>
      <c r="G248" s="16124">
        <v>1</v>
      </c>
      <c r="H248" s="2502"/>
      <c r="I248" s="2502"/>
      <c r="J248" s="2502"/>
      <c r="K248" s="2502"/>
      <c r="L248" s="2503"/>
      <c r="M248" s="2504"/>
      <c r="N248" s="2504"/>
      <c r="O248" s="2504"/>
      <c r="P248" s="2505"/>
      <c r="Q248" s="2506"/>
      <c r="R248" s="2507"/>
      <c r="S248" s="2508" t="str">
        <f>INDEX(PT_DIFFERENTIATION_NUM_CS,MATCH(C248,PT_DIFFERENTIATION_CS_ID,0))</f>
        <v>2.9.1</v>
      </c>
      <c r="T248" s="2509" t="s">
        <v>665</v>
      </c>
      <c r="U248" s="2510"/>
      <c r="V248" s="16110"/>
      <c r="W248" s="16111"/>
      <c r="X248" s="16111"/>
      <c r="Y248" s="16111"/>
      <c r="Z248" s="16111"/>
      <c r="AA248" s="16111"/>
      <c r="AB248" s="16111"/>
      <c r="AC248" s="16111"/>
      <c r="AD248" s="16111"/>
      <c r="AE248" s="16111"/>
      <c r="AF248" s="16112"/>
      <c r="AG248" s="16110" t="str">
        <f>INDEX(PT_DIFFERENTIATION_CS,MATCH(C248,PT_DIFFERENTIATION_CS_ID,0))</f>
        <v>н.п. Лейпи</v>
      </c>
      <c r="AH248" s="16111"/>
      <c r="AI248" s="16111"/>
      <c r="AJ248" s="16111"/>
      <c r="AK248" s="16111"/>
      <c r="AL248" s="16111"/>
      <c r="AM248" s="16111"/>
      <c r="AN248" s="16111"/>
      <c r="AO248" s="16111"/>
      <c r="AP248" s="16111"/>
      <c r="AQ248" s="16111"/>
      <c r="AR248" s="16110"/>
      <c r="AS248" s="16111"/>
      <c r="AT248" s="16111"/>
      <c r="AU248" s="16111"/>
      <c r="AV248" s="16111"/>
      <c r="AW248" s="16111"/>
      <c r="AX248" s="16111"/>
      <c r="AY248" s="16111"/>
      <c r="AZ248" s="16111"/>
      <c r="BA248" s="16111"/>
      <c r="BB248" s="16112"/>
      <c r="BC248" s="16110"/>
      <c r="BD248" s="16111"/>
      <c r="BE248" s="16111"/>
      <c r="BF248" s="16111"/>
      <c r="BG248" s="16111"/>
      <c r="BH248" s="16111"/>
      <c r="BI248" s="16111"/>
      <c r="BJ248" s="16111"/>
      <c r="BK248" s="16111"/>
      <c r="BL248" s="16111"/>
      <c r="BM248" s="16112"/>
      <c r="BN248" s="16110"/>
      <c r="BO248" s="16111"/>
      <c r="BP248" s="16111"/>
      <c r="BQ248" s="16111"/>
      <c r="BR248" s="16111"/>
      <c r="BS248" s="16111"/>
      <c r="BT248" s="16111"/>
      <c r="BU248" s="16111"/>
      <c r="BV248" s="16111"/>
      <c r="BW248" s="16111"/>
      <c r="BX248" s="16112"/>
      <c r="BY248" s="16110"/>
      <c r="BZ248" s="16111"/>
      <c r="CA248" s="16111"/>
      <c r="CB248" s="16111"/>
      <c r="CC248" s="16111"/>
      <c r="CD248" s="16111"/>
      <c r="CE248" s="16111"/>
      <c r="CF248" s="16111"/>
      <c r="CG248" s="16111"/>
      <c r="CH248" s="16111"/>
      <c r="CI248" s="16112"/>
      <c r="CJ248" s="16110"/>
      <c r="CK248" s="16111"/>
      <c r="CL248" s="16111"/>
      <c r="CM248" s="16111"/>
      <c r="CN248" s="16111"/>
      <c r="CO248" s="16111"/>
      <c r="CP248" s="16111"/>
      <c r="CQ248" s="16111"/>
      <c r="CR248" s="16111"/>
      <c r="CS248" s="16111"/>
      <c r="CT248" s="16112"/>
      <c r="CU248" s="16110"/>
      <c r="CV248" s="16111"/>
      <c r="CW248" s="16111"/>
      <c r="CX248" s="16111"/>
      <c r="CY248" s="16111"/>
      <c r="CZ248" s="16111"/>
      <c r="DA248" s="16111"/>
      <c r="DB248" s="16111"/>
      <c r="DC248" s="16111"/>
      <c r="DD248" s="16111"/>
      <c r="DE248" s="16112"/>
      <c r="DF248" s="16110"/>
      <c r="DG248" s="16111"/>
      <c r="DH248" s="16111"/>
      <c r="DI248" s="16111"/>
      <c r="DJ248" s="16111"/>
      <c r="DK248" s="16111"/>
      <c r="DL248" s="16111"/>
      <c r="DM248" s="16111"/>
      <c r="DN248" s="16111"/>
      <c r="DO248" s="16111"/>
      <c r="DP248" s="16112"/>
      <c r="DQ248" s="16110"/>
      <c r="DR248" s="16111"/>
      <c r="DS248" s="16111"/>
      <c r="DT248" s="16111"/>
      <c r="DU248" s="16111"/>
      <c r="DV248" s="16111"/>
      <c r="DW248" s="16111"/>
      <c r="DX248" s="16111"/>
      <c r="DY248" s="16111"/>
      <c r="DZ248" s="16111"/>
      <c r="EA248" s="16112"/>
      <c r="EB248" s="16110"/>
      <c r="EC248" s="16111"/>
      <c r="ED248" s="16111"/>
      <c r="EE248" s="16111"/>
      <c r="EF248" s="16111"/>
      <c r="EG248" s="16111"/>
      <c r="EH248" s="16111"/>
      <c r="EI248" s="16111"/>
      <c r="EJ248" s="16111"/>
      <c r="EK248" s="16111"/>
      <c r="EL248" s="16112"/>
      <c r="EM248" s="16110"/>
      <c r="EN248" s="16111"/>
      <c r="EO248" s="16111"/>
      <c r="EP248" s="16111"/>
      <c r="EQ248" s="16111"/>
      <c r="ER248" s="16111"/>
      <c r="ES248" s="16111"/>
      <c r="ET248" s="16111"/>
      <c r="EU248" s="16111"/>
      <c r="EV248" s="16111"/>
      <c r="EW248" s="16112"/>
      <c r="EX248" s="16112"/>
      <c r="EY248" s="2511" t="s">
        <v>666</v>
      </c>
      <c r="EZ248" s="2199"/>
      <c r="FA248" s="2512"/>
      <c r="FB248" s="2512" t="str">
        <f t="shared" si="4"/>
        <v>Наименование централизованной системы горячего водоснабжения</v>
      </c>
      <c r="FC248" s="2512"/>
      <c r="FD248" s="2512"/>
    </row>
    <row r="249" spans="1:160" s="15383" customFormat="1" ht="23.25" customHeight="1">
      <c r="A249" s="2502"/>
      <c r="B249" s="2502"/>
      <c r="C249" s="2502"/>
      <c r="D249" s="2502"/>
      <c r="E249" s="16125"/>
      <c r="F249" s="16125" t="s">
        <v>132</v>
      </c>
      <c r="G249" s="16125"/>
      <c r="H249" s="16125"/>
      <c r="I249" s="16122" t="str">
        <f>S248&amp;".1"</f>
        <v>2.9.1.1</v>
      </c>
      <c r="J249" s="2502"/>
      <c r="K249" s="2502"/>
      <c r="L249" s="2503"/>
      <c r="M249" s="2513"/>
      <c r="N249" s="2513"/>
      <c r="O249" s="2513"/>
      <c r="P249" s="16123">
        <v>1</v>
      </c>
      <c r="Q249" s="2514"/>
      <c r="R249" s="2515"/>
      <c r="S249" s="2508" t="str">
        <f>$I249</f>
        <v>2.9.1.1</v>
      </c>
      <c r="T249" s="2516" t="s">
        <v>618</v>
      </c>
      <c r="U249" s="2510"/>
      <c r="V249" s="16183"/>
      <c r="W249" s="16184"/>
      <c r="X249" s="16184"/>
      <c r="Y249" s="16184"/>
      <c r="Z249" s="16184"/>
      <c r="AA249" s="16184"/>
      <c r="AB249" s="16184"/>
      <c r="AC249" s="16184"/>
      <c r="AD249" s="16184"/>
      <c r="AE249" s="16184"/>
      <c r="AF249" s="16185"/>
      <c r="AG249" s="16186"/>
      <c r="AH249" s="16187"/>
      <c r="AI249" s="16187"/>
      <c r="AJ249" s="16187"/>
      <c r="AK249" s="16187"/>
      <c r="AL249" s="16187"/>
      <c r="AM249" s="16187"/>
      <c r="AN249" s="16187"/>
      <c r="AO249" s="16187"/>
      <c r="AP249" s="16187"/>
      <c r="AQ249" s="16187"/>
      <c r="AR249" s="16183"/>
      <c r="AS249" s="16184"/>
      <c r="AT249" s="16184"/>
      <c r="AU249" s="16184"/>
      <c r="AV249" s="16184"/>
      <c r="AW249" s="16184"/>
      <c r="AX249" s="16184"/>
      <c r="AY249" s="16184"/>
      <c r="AZ249" s="16184"/>
      <c r="BA249" s="16184"/>
      <c r="BB249" s="16185"/>
      <c r="BC249" s="16183"/>
      <c r="BD249" s="16184"/>
      <c r="BE249" s="16184"/>
      <c r="BF249" s="16184"/>
      <c r="BG249" s="16184"/>
      <c r="BH249" s="16184"/>
      <c r="BI249" s="16184"/>
      <c r="BJ249" s="16184"/>
      <c r="BK249" s="16184"/>
      <c r="BL249" s="16184"/>
      <c r="BM249" s="16185"/>
      <c r="BN249" s="16183"/>
      <c r="BO249" s="16184"/>
      <c r="BP249" s="16184"/>
      <c r="BQ249" s="16184"/>
      <c r="BR249" s="16184"/>
      <c r="BS249" s="16184"/>
      <c r="BT249" s="16184"/>
      <c r="BU249" s="16184"/>
      <c r="BV249" s="16184"/>
      <c r="BW249" s="16184"/>
      <c r="BX249" s="16185"/>
      <c r="BY249" s="16183"/>
      <c r="BZ249" s="16184"/>
      <c r="CA249" s="16184"/>
      <c r="CB249" s="16184"/>
      <c r="CC249" s="16184"/>
      <c r="CD249" s="16184"/>
      <c r="CE249" s="16184"/>
      <c r="CF249" s="16184"/>
      <c r="CG249" s="16184"/>
      <c r="CH249" s="16184"/>
      <c r="CI249" s="16185"/>
      <c r="CJ249" s="16183"/>
      <c r="CK249" s="16184"/>
      <c r="CL249" s="16184"/>
      <c r="CM249" s="16184"/>
      <c r="CN249" s="16184"/>
      <c r="CO249" s="16184"/>
      <c r="CP249" s="16184"/>
      <c r="CQ249" s="16184"/>
      <c r="CR249" s="16184"/>
      <c r="CS249" s="16184"/>
      <c r="CT249" s="16185"/>
      <c r="CU249" s="16183"/>
      <c r="CV249" s="16184"/>
      <c r="CW249" s="16184"/>
      <c r="CX249" s="16184"/>
      <c r="CY249" s="16184"/>
      <c r="CZ249" s="16184"/>
      <c r="DA249" s="16184"/>
      <c r="DB249" s="16184"/>
      <c r="DC249" s="16184"/>
      <c r="DD249" s="16184"/>
      <c r="DE249" s="16185"/>
      <c r="DF249" s="16183"/>
      <c r="DG249" s="16184"/>
      <c r="DH249" s="16184"/>
      <c r="DI249" s="16184"/>
      <c r="DJ249" s="16184"/>
      <c r="DK249" s="16184"/>
      <c r="DL249" s="16184"/>
      <c r="DM249" s="16184"/>
      <c r="DN249" s="16184"/>
      <c r="DO249" s="16184"/>
      <c r="DP249" s="16185"/>
      <c r="DQ249" s="16183"/>
      <c r="DR249" s="16184"/>
      <c r="DS249" s="16184"/>
      <c r="DT249" s="16184"/>
      <c r="DU249" s="16184"/>
      <c r="DV249" s="16184"/>
      <c r="DW249" s="16184"/>
      <c r="DX249" s="16184"/>
      <c r="DY249" s="16184"/>
      <c r="DZ249" s="16184"/>
      <c r="EA249" s="16185"/>
      <c r="EB249" s="16183"/>
      <c r="EC249" s="16184"/>
      <c r="ED249" s="16184"/>
      <c r="EE249" s="16184"/>
      <c r="EF249" s="16184"/>
      <c r="EG249" s="16184"/>
      <c r="EH249" s="16184"/>
      <c r="EI249" s="16184"/>
      <c r="EJ249" s="16184"/>
      <c r="EK249" s="16184"/>
      <c r="EL249" s="16185"/>
      <c r="EM249" s="16183"/>
      <c r="EN249" s="16184"/>
      <c r="EO249" s="16184"/>
      <c r="EP249" s="16184"/>
      <c r="EQ249" s="16184"/>
      <c r="ER249" s="16184"/>
      <c r="ES249" s="16184"/>
      <c r="ET249" s="16184"/>
      <c r="EU249" s="16184"/>
      <c r="EV249" s="16184"/>
      <c r="EW249" s="16185"/>
      <c r="EX249" s="16188"/>
      <c r="EY249" s="2511" t="s">
        <v>619</v>
      </c>
      <c r="EZ249" s="2199"/>
      <c r="FA249" s="2512"/>
      <c r="FB249" s="2512" t="str">
        <f t="shared" si="4"/>
        <v>Наименование признака дифференциации</v>
      </c>
      <c r="FC249" s="2512"/>
      <c r="FD249" s="2512"/>
    </row>
    <row r="250" spans="1:160" s="15384" customFormat="1" ht="23.25" customHeight="1">
      <c r="A250" s="2502"/>
      <c r="B250" s="2502"/>
      <c r="C250" s="2502"/>
      <c r="D250" s="2502"/>
      <c r="E250" s="16125"/>
      <c r="F250" s="16125" t="s">
        <v>132</v>
      </c>
      <c r="G250" s="16125"/>
      <c r="H250" s="16125"/>
      <c r="I250" s="16145"/>
      <c r="J250" s="16122" t="str">
        <f>I249&amp;".1"</f>
        <v>2.9.1.1.1</v>
      </c>
      <c r="K250" s="2502"/>
      <c r="L250" s="2503" t="s">
        <v>543</v>
      </c>
      <c r="M250" s="2513"/>
      <c r="N250" s="2513"/>
      <c r="O250" s="2513"/>
      <c r="P250" s="16123"/>
      <c r="Q250" s="16123">
        <v>1</v>
      </c>
      <c r="R250" s="2517"/>
      <c r="S250" s="2508" t="str">
        <f>$J250</f>
        <v>2.9.1.1.1</v>
      </c>
      <c r="T250" s="2518" t="s">
        <v>544</v>
      </c>
      <c r="U250" s="2510"/>
      <c r="V250" s="16113"/>
      <c r="W250" s="16114"/>
      <c r="X250" s="16114"/>
      <c r="Y250" s="16114"/>
      <c r="Z250" s="16114"/>
      <c r="AA250" s="16114"/>
      <c r="AB250" s="16114"/>
      <c r="AC250" s="16114"/>
      <c r="AD250" s="16114"/>
      <c r="AE250" s="16114"/>
      <c r="AF250" s="16115"/>
      <c r="AG250" s="16113" t="s">
        <v>679</v>
      </c>
      <c r="AH250" s="16114"/>
      <c r="AI250" s="16114"/>
      <c r="AJ250" s="16114"/>
      <c r="AK250" s="16114"/>
      <c r="AL250" s="16114"/>
      <c r="AM250" s="16114"/>
      <c r="AN250" s="16114"/>
      <c r="AO250" s="16114"/>
      <c r="AP250" s="16114"/>
      <c r="AQ250" s="16114"/>
      <c r="AR250" s="16113"/>
      <c r="AS250" s="16114"/>
      <c r="AT250" s="16114"/>
      <c r="AU250" s="16114"/>
      <c r="AV250" s="16114"/>
      <c r="AW250" s="16114"/>
      <c r="AX250" s="16114"/>
      <c r="AY250" s="16114"/>
      <c r="AZ250" s="16114"/>
      <c r="BA250" s="16114"/>
      <c r="BB250" s="16115"/>
      <c r="BC250" s="16113"/>
      <c r="BD250" s="16114"/>
      <c r="BE250" s="16114"/>
      <c r="BF250" s="16114"/>
      <c r="BG250" s="16114"/>
      <c r="BH250" s="16114"/>
      <c r="BI250" s="16114"/>
      <c r="BJ250" s="16114"/>
      <c r="BK250" s="16114"/>
      <c r="BL250" s="16114"/>
      <c r="BM250" s="16115"/>
      <c r="BN250" s="16113"/>
      <c r="BO250" s="16114"/>
      <c r="BP250" s="16114"/>
      <c r="BQ250" s="16114"/>
      <c r="BR250" s="16114"/>
      <c r="BS250" s="16114"/>
      <c r="BT250" s="16114"/>
      <c r="BU250" s="16114"/>
      <c r="BV250" s="16114"/>
      <c r="BW250" s="16114"/>
      <c r="BX250" s="16115"/>
      <c r="BY250" s="16113"/>
      <c r="BZ250" s="16114"/>
      <c r="CA250" s="16114"/>
      <c r="CB250" s="16114"/>
      <c r="CC250" s="16114"/>
      <c r="CD250" s="16114"/>
      <c r="CE250" s="16114"/>
      <c r="CF250" s="16114"/>
      <c r="CG250" s="16114"/>
      <c r="CH250" s="16114"/>
      <c r="CI250" s="16115"/>
      <c r="CJ250" s="16113"/>
      <c r="CK250" s="16114"/>
      <c r="CL250" s="16114"/>
      <c r="CM250" s="16114"/>
      <c r="CN250" s="16114"/>
      <c r="CO250" s="16114"/>
      <c r="CP250" s="16114"/>
      <c r="CQ250" s="16114"/>
      <c r="CR250" s="16114"/>
      <c r="CS250" s="16114"/>
      <c r="CT250" s="16115"/>
      <c r="CU250" s="16113"/>
      <c r="CV250" s="16114"/>
      <c r="CW250" s="16114"/>
      <c r="CX250" s="16114"/>
      <c r="CY250" s="16114"/>
      <c r="CZ250" s="16114"/>
      <c r="DA250" s="16114"/>
      <c r="DB250" s="16114"/>
      <c r="DC250" s="16114"/>
      <c r="DD250" s="16114"/>
      <c r="DE250" s="16115"/>
      <c r="DF250" s="16113"/>
      <c r="DG250" s="16114"/>
      <c r="DH250" s="16114"/>
      <c r="DI250" s="16114"/>
      <c r="DJ250" s="16114"/>
      <c r="DK250" s="16114"/>
      <c r="DL250" s="16114"/>
      <c r="DM250" s="16114"/>
      <c r="DN250" s="16114"/>
      <c r="DO250" s="16114"/>
      <c r="DP250" s="16115"/>
      <c r="DQ250" s="16113"/>
      <c r="DR250" s="16114"/>
      <c r="DS250" s="16114"/>
      <c r="DT250" s="16114"/>
      <c r="DU250" s="16114"/>
      <c r="DV250" s="16114"/>
      <c r="DW250" s="16114"/>
      <c r="DX250" s="16114"/>
      <c r="DY250" s="16114"/>
      <c r="DZ250" s="16114"/>
      <c r="EA250" s="16115"/>
      <c r="EB250" s="16113"/>
      <c r="EC250" s="16114"/>
      <c r="ED250" s="16114"/>
      <c r="EE250" s="16114"/>
      <c r="EF250" s="16114"/>
      <c r="EG250" s="16114"/>
      <c r="EH250" s="16114"/>
      <c r="EI250" s="16114"/>
      <c r="EJ250" s="16114"/>
      <c r="EK250" s="16114"/>
      <c r="EL250" s="16115"/>
      <c r="EM250" s="16113"/>
      <c r="EN250" s="16114"/>
      <c r="EO250" s="16114"/>
      <c r="EP250" s="16114"/>
      <c r="EQ250" s="16114"/>
      <c r="ER250" s="16114"/>
      <c r="ES250" s="16114"/>
      <c r="ET250" s="16114"/>
      <c r="EU250" s="16114"/>
      <c r="EV250" s="16114"/>
      <c r="EW250" s="16115"/>
      <c r="EX250" s="16115"/>
      <c r="EY250" s="2519" t="s">
        <v>620</v>
      </c>
      <c r="EZ250" s="2199"/>
      <c r="FA250" s="2512"/>
      <c r="FB250" s="2512" t="str">
        <f t="shared" si="4"/>
        <v>Группа потребителей</v>
      </c>
      <c r="FC250" s="2512"/>
      <c r="FD250" s="2512"/>
    </row>
    <row r="251" spans="1:160" s="15385" customFormat="1" ht="23.25" customHeight="1">
      <c r="A251" s="2502"/>
      <c r="B251" s="2502"/>
      <c r="C251" s="2502"/>
      <c r="D251" s="2502"/>
      <c r="E251" s="16125"/>
      <c r="F251" s="16125" t="s">
        <v>132</v>
      </c>
      <c r="G251" s="16125"/>
      <c r="H251" s="16125"/>
      <c r="I251" s="16145"/>
      <c r="J251" s="16145"/>
      <c r="K251" s="16122" t="str">
        <f>J250&amp;".1"</f>
        <v>2.9.1.1.1.1</v>
      </c>
      <c r="L251" s="2503"/>
      <c r="M251" s="2513"/>
      <c r="N251" s="2513"/>
      <c r="O251" s="2513"/>
      <c r="P251" s="16123"/>
      <c r="Q251" s="16123"/>
      <c r="R251" s="2517">
        <v>1</v>
      </c>
      <c r="S251" s="2508" t="str">
        <f>$K251</f>
        <v>2.9.1.1.1.1</v>
      </c>
      <c r="T251" s="2520"/>
      <c r="U251" s="2510"/>
      <c r="V251" s="1893"/>
      <c r="W251" s="1893"/>
      <c r="X251" s="1893"/>
      <c r="Y251" s="1893"/>
      <c r="Z251" s="1893"/>
      <c r="AA251" s="1893"/>
      <c r="AB251" s="1893"/>
      <c r="AC251" s="16127"/>
      <c r="AD251" s="15973" t="s">
        <v>66</v>
      </c>
      <c r="AE251" s="16127"/>
      <c r="AF251" s="15973" t="s">
        <v>66</v>
      </c>
      <c r="AG251" s="1893">
        <v>61.1</v>
      </c>
      <c r="AH251" s="1893"/>
      <c r="AI251" s="1893"/>
      <c r="AJ251" s="1893"/>
      <c r="AK251" s="1893">
        <v>5493.65</v>
      </c>
      <c r="AL251" s="1893"/>
      <c r="AM251" s="1893"/>
      <c r="AN251" s="16127">
        <v>45292</v>
      </c>
      <c r="AO251" s="15973" t="s">
        <v>66</v>
      </c>
      <c r="AP251" s="16146">
        <v>45378</v>
      </c>
      <c r="AQ251" s="15973" t="s">
        <v>66</v>
      </c>
      <c r="AR251" s="1893">
        <v>61.1</v>
      </c>
      <c r="AS251" s="1893"/>
      <c r="AT251" s="1893"/>
      <c r="AU251" s="1893"/>
      <c r="AV251" s="1893">
        <v>5493.65</v>
      </c>
      <c r="AW251" s="1893"/>
      <c r="AX251" s="1893"/>
      <c r="AY251" s="16127">
        <v>45379</v>
      </c>
      <c r="AZ251" s="15973" t="s">
        <v>66</v>
      </c>
      <c r="BA251" s="16127">
        <v>45473</v>
      </c>
      <c r="BB251" s="15973" t="s">
        <v>66</v>
      </c>
      <c r="BC251" s="1893">
        <v>78</v>
      </c>
      <c r="BD251" s="1893"/>
      <c r="BE251" s="1893"/>
      <c r="BF251" s="1893"/>
      <c r="BG251" s="1893">
        <v>5493.65</v>
      </c>
      <c r="BH251" s="1893"/>
      <c r="BI251" s="1893"/>
      <c r="BJ251" s="16127">
        <v>45474</v>
      </c>
      <c r="BK251" s="15973" t="s">
        <v>66</v>
      </c>
      <c r="BL251" s="16127">
        <v>45657</v>
      </c>
      <c r="BM251" s="15973" t="s">
        <v>66</v>
      </c>
      <c r="BN251" s="1893">
        <v>65</v>
      </c>
      <c r="BO251" s="1893"/>
      <c r="BP251" s="1893"/>
      <c r="BQ251" s="1893"/>
      <c r="BR251" s="1893">
        <v>5407.73</v>
      </c>
      <c r="BS251" s="1893"/>
      <c r="BT251" s="1893"/>
      <c r="BU251" s="16127">
        <v>45658</v>
      </c>
      <c r="BV251" s="15973" t="s">
        <v>66</v>
      </c>
      <c r="BW251" s="16127">
        <v>45838</v>
      </c>
      <c r="BX251" s="15973" t="s">
        <v>66</v>
      </c>
      <c r="BY251" s="1893">
        <v>67.73</v>
      </c>
      <c r="BZ251" s="1893"/>
      <c r="CA251" s="1893"/>
      <c r="CB251" s="1893"/>
      <c r="CC251" s="1893">
        <v>5407.73</v>
      </c>
      <c r="CD251" s="1893"/>
      <c r="CE251" s="1893"/>
      <c r="CF251" s="16127">
        <v>45839</v>
      </c>
      <c r="CG251" s="15973" t="s">
        <v>66</v>
      </c>
      <c r="CH251" s="16127">
        <v>46022</v>
      </c>
      <c r="CI251" s="15973" t="s">
        <v>66</v>
      </c>
      <c r="CJ251" s="1893">
        <v>67.73</v>
      </c>
      <c r="CK251" s="1893"/>
      <c r="CL251" s="1893"/>
      <c r="CM251" s="1893"/>
      <c r="CN251" s="1893">
        <v>5407.73</v>
      </c>
      <c r="CO251" s="1893"/>
      <c r="CP251" s="1893"/>
      <c r="CQ251" s="16127">
        <v>46023</v>
      </c>
      <c r="CR251" s="15973" t="s">
        <v>66</v>
      </c>
      <c r="CS251" s="16127">
        <v>46203</v>
      </c>
      <c r="CT251" s="15973" t="s">
        <v>66</v>
      </c>
      <c r="CU251" s="1893">
        <v>71.599999999999994</v>
      </c>
      <c r="CV251" s="1893"/>
      <c r="CW251" s="1893"/>
      <c r="CX251" s="1893"/>
      <c r="CY251" s="1893">
        <v>5674.71</v>
      </c>
      <c r="CZ251" s="1893"/>
      <c r="DA251" s="1893"/>
      <c r="DB251" s="16127">
        <v>46204</v>
      </c>
      <c r="DC251" s="15973" t="s">
        <v>66</v>
      </c>
      <c r="DD251" s="16127">
        <v>46387</v>
      </c>
      <c r="DE251" s="15973" t="s">
        <v>66</v>
      </c>
      <c r="DF251" s="1893">
        <v>71.599999999999994</v>
      </c>
      <c r="DG251" s="1893"/>
      <c r="DH251" s="1893"/>
      <c r="DI251" s="1893"/>
      <c r="DJ251" s="1893">
        <v>5674.41</v>
      </c>
      <c r="DK251" s="1893"/>
      <c r="DL251" s="1893"/>
      <c r="DM251" s="16127">
        <v>46388</v>
      </c>
      <c r="DN251" s="15973" t="s">
        <v>66</v>
      </c>
      <c r="DO251" s="16127">
        <v>46568</v>
      </c>
      <c r="DP251" s="15973" t="s">
        <v>66</v>
      </c>
      <c r="DQ251" s="1893">
        <v>75.69</v>
      </c>
      <c r="DR251" s="1893"/>
      <c r="DS251" s="1893"/>
      <c r="DT251" s="1893"/>
      <c r="DU251" s="1893">
        <v>5674.41</v>
      </c>
      <c r="DV251" s="1893"/>
      <c r="DW251" s="1893"/>
      <c r="DX251" s="16127">
        <v>46569</v>
      </c>
      <c r="DY251" s="15973" t="s">
        <v>66</v>
      </c>
      <c r="DZ251" s="16127">
        <v>46752</v>
      </c>
      <c r="EA251" s="15973" t="s">
        <v>66</v>
      </c>
      <c r="EB251" s="1893">
        <v>75.69</v>
      </c>
      <c r="EC251" s="1893"/>
      <c r="ED251" s="1893"/>
      <c r="EE251" s="1893"/>
      <c r="EF251" s="1893">
        <v>5674.41</v>
      </c>
      <c r="EG251" s="1893"/>
      <c r="EH251" s="1893"/>
      <c r="EI251" s="16127">
        <v>46753</v>
      </c>
      <c r="EJ251" s="15973" t="s">
        <v>66</v>
      </c>
      <c r="EK251" s="16127">
        <v>46934</v>
      </c>
      <c r="EL251" s="15973" t="s">
        <v>66</v>
      </c>
      <c r="EM251" s="14448">
        <v>80.14</v>
      </c>
      <c r="EN251" s="14448"/>
      <c r="EO251" s="14448"/>
      <c r="EP251" s="14448"/>
      <c r="EQ251" s="14448">
        <v>5981.67</v>
      </c>
      <c r="ER251" s="14448"/>
      <c r="ES251" s="14448"/>
      <c r="ET251" s="16127">
        <v>46935</v>
      </c>
      <c r="EU251" s="15973" t="s">
        <v>66</v>
      </c>
      <c r="EV251" s="16127">
        <v>47118</v>
      </c>
      <c r="EW251" s="15973" t="s">
        <v>66</v>
      </c>
      <c r="EX251" s="2521"/>
      <c r="EY25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51" s="2199" t="e">
        <f ca="1">STRCHECKDATE(V252:EX252)</f>
        <v>#NAME?</v>
      </c>
      <c r="FA251" s="2512"/>
      <c r="FB251" s="2512" t="str">
        <f t="shared" si="4"/>
        <v/>
      </c>
      <c r="FC251" s="2512"/>
      <c r="FD251" s="2512"/>
    </row>
    <row r="252" spans="1:160" s="15386" customFormat="1" ht="14.25" customHeight="1">
      <c r="A252" s="2502"/>
      <c r="B252" s="2502"/>
      <c r="C252" s="2502"/>
      <c r="D252" s="2502"/>
      <c r="E252" s="16125"/>
      <c r="F252" s="16125" t="s">
        <v>132</v>
      </c>
      <c r="G252" s="16125"/>
      <c r="H252" s="16125"/>
      <c r="I252" s="16145"/>
      <c r="J252" s="16145"/>
      <c r="K252" s="16122"/>
      <c r="L252" s="2503"/>
      <c r="M252" s="2513"/>
      <c r="N252" s="2513"/>
      <c r="O252" s="2513"/>
      <c r="P252" s="16123"/>
      <c r="Q252" s="16123"/>
      <c r="R252" s="2517"/>
      <c r="S252" s="2522"/>
      <c r="T252" s="2510"/>
      <c r="U252" s="2510"/>
      <c r="V252" s="1894"/>
      <c r="W252" s="1894"/>
      <c r="X252" s="1894"/>
      <c r="Y252" s="1894"/>
      <c r="Z252" s="1894"/>
      <c r="AA252" s="1894"/>
      <c r="AB252" s="1894"/>
      <c r="AC252" s="16128"/>
      <c r="AD252" s="15973"/>
      <c r="AE252" s="16128"/>
      <c r="AF252" s="15973"/>
      <c r="AG252" s="1894"/>
      <c r="AH252" s="1894"/>
      <c r="AI252" s="1894"/>
      <c r="AJ252" s="1894"/>
      <c r="AK252" s="1894"/>
      <c r="AL252" s="1894"/>
      <c r="AM252" s="1894"/>
      <c r="AN252" s="16128"/>
      <c r="AO252" s="15973"/>
      <c r="AP252" s="16147"/>
      <c r="AQ252" s="15973"/>
      <c r="AR252" s="1894"/>
      <c r="AS252" s="1894"/>
      <c r="AT252" s="1894"/>
      <c r="AU252" s="1894"/>
      <c r="AV252" s="1894"/>
      <c r="AW252" s="1894"/>
      <c r="AX252" s="1894"/>
      <c r="AY252" s="16128"/>
      <c r="AZ252" s="15973"/>
      <c r="BA252" s="16128"/>
      <c r="BB252" s="15973"/>
      <c r="BC252" s="1894"/>
      <c r="BD252" s="1894"/>
      <c r="BE252" s="1894"/>
      <c r="BF252" s="1894"/>
      <c r="BG252" s="1894"/>
      <c r="BH252" s="1894"/>
      <c r="BI252" s="1894"/>
      <c r="BJ252" s="16128"/>
      <c r="BK252" s="15973"/>
      <c r="BL252" s="16128"/>
      <c r="BM252" s="15973"/>
      <c r="BN252" s="1894"/>
      <c r="BO252" s="1894"/>
      <c r="BP252" s="1894"/>
      <c r="BQ252" s="1894"/>
      <c r="BR252" s="1894"/>
      <c r="BS252" s="1894"/>
      <c r="BT252" s="1894"/>
      <c r="BU252" s="16128"/>
      <c r="BV252" s="15973"/>
      <c r="BW252" s="16128"/>
      <c r="BX252" s="15973"/>
      <c r="BY252" s="1894"/>
      <c r="BZ252" s="1894"/>
      <c r="CA252" s="1894"/>
      <c r="CB252" s="1894"/>
      <c r="CC252" s="1894"/>
      <c r="CD252" s="1894"/>
      <c r="CE252" s="1894"/>
      <c r="CF252" s="16128"/>
      <c r="CG252" s="15973"/>
      <c r="CH252" s="16128"/>
      <c r="CI252" s="15973"/>
      <c r="CJ252" s="1894"/>
      <c r="CK252" s="1894"/>
      <c r="CL252" s="1894"/>
      <c r="CM252" s="1894"/>
      <c r="CN252" s="1894"/>
      <c r="CO252" s="1894"/>
      <c r="CP252" s="1894"/>
      <c r="CQ252" s="16128"/>
      <c r="CR252" s="15973"/>
      <c r="CS252" s="16128"/>
      <c r="CT252" s="15973"/>
      <c r="CU252" s="1894"/>
      <c r="CV252" s="1894"/>
      <c r="CW252" s="1894"/>
      <c r="CX252" s="1894"/>
      <c r="CY252" s="1894"/>
      <c r="CZ252" s="1894"/>
      <c r="DA252" s="1894"/>
      <c r="DB252" s="16128"/>
      <c r="DC252" s="15973"/>
      <c r="DD252" s="16128"/>
      <c r="DE252" s="15973"/>
      <c r="DF252" s="1894"/>
      <c r="DG252" s="1894"/>
      <c r="DH252" s="1894"/>
      <c r="DI252" s="1894"/>
      <c r="DJ252" s="1894"/>
      <c r="DK252" s="1894"/>
      <c r="DL252" s="1894"/>
      <c r="DM252" s="16128"/>
      <c r="DN252" s="15973"/>
      <c r="DO252" s="16128"/>
      <c r="DP252" s="15973"/>
      <c r="DQ252" s="1894"/>
      <c r="DR252" s="1894"/>
      <c r="DS252" s="1894"/>
      <c r="DT252" s="1894"/>
      <c r="DU252" s="1894"/>
      <c r="DV252" s="1894"/>
      <c r="DW252" s="1894"/>
      <c r="DX252" s="16128"/>
      <c r="DY252" s="15973"/>
      <c r="DZ252" s="16128"/>
      <c r="EA252" s="15973"/>
      <c r="EB252" s="1894"/>
      <c r="EC252" s="1894"/>
      <c r="ED252" s="1894"/>
      <c r="EE252" s="1894"/>
      <c r="EF252" s="1894"/>
      <c r="EG252" s="1894"/>
      <c r="EH252" s="1894"/>
      <c r="EI252" s="16128"/>
      <c r="EJ252" s="15973"/>
      <c r="EK252" s="16128"/>
      <c r="EL252" s="15973"/>
      <c r="EM252" s="14449"/>
      <c r="EN252" s="14449"/>
      <c r="EO252" s="14449"/>
      <c r="EP252" s="14449"/>
      <c r="EQ252" s="14449"/>
      <c r="ER252" s="14449"/>
      <c r="ES252" s="14449"/>
      <c r="ET252" s="16128"/>
      <c r="EU252" s="15973"/>
      <c r="EV252" s="16128"/>
      <c r="EW252" s="15973"/>
      <c r="EX252" s="2523"/>
      <c r="EY252" s="16182"/>
      <c r="EZ252" s="2199"/>
      <c r="FA252" s="2512"/>
      <c r="FB252" s="2512" t="str">
        <f t="shared" si="4"/>
        <v/>
      </c>
      <c r="FC252" s="2512"/>
      <c r="FD252" s="2512"/>
    </row>
    <row r="253" spans="1:160" s="15387" customFormat="1" ht="21" customHeight="1">
      <c r="A253" s="2502"/>
      <c r="B253" s="2502"/>
      <c r="C253" s="2502"/>
      <c r="D253" s="2502"/>
      <c r="E253" s="16125"/>
      <c r="F253" s="16125" t="s">
        <v>132</v>
      </c>
      <c r="G253" s="16125"/>
      <c r="H253" s="16125"/>
      <c r="I253" s="16145"/>
      <c r="J253" s="16122"/>
      <c r="K253" s="2502"/>
      <c r="L253" s="2503"/>
      <c r="M253" s="2513"/>
      <c r="N253" s="2513"/>
      <c r="O253" s="2513"/>
      <c r="P253" s="16123"/>
      <c r="Q253" s="16123"/>
      <c r="R253" s="2515"/>
      <c r="S253" s="10078"/>
      <c r="T253" s="10079" t="s">
        <v>621</v>
      </c>
      <c r="U253" s="10080"/>
      <c r="V253" s="10081"/>
      <c r="W253" s="10082"/>
      <c r="X253" s="10083"/>
      <c r="Y253" s="10084"/>
      <c r="Z253" s="10085"/>
      <c r="AA253" s="10086"/>
      <c r="AB253" s="10087"/>
      <c r="AC253" s="10088"/>
      <c r="AD253" s="10089"/>
      <c r="AE253" s="10090"/>
      <c r="AF253" s="10091"/>
      <c r="AG253" s="10092"/>
      <c r="AH253" s="10093"/>
      <c r="AI253" s="10094"/>
      <c r="AJ253" s="10095"/>
      <c r="AK253" s="10096"/>
      <c r="AL253" s="10097"/>
      <c r="AM253" s="10098"/>
      <c r="AN253" s="10099"/>
      <c r="AO253" s="10100"/>
      <c r="AP253" s="10101"/>
      <c r="AQ253" s="10102"/>
      <c r="AR253" s="10103"/>
      <c r="AS253" s="10104"/>
      <c r="AT253" s="10105"/>
      <c r="AU253" s="10106"/>
      <c r="AV253" s="10107"/>
      <c r="AW253" s="10108"/>
      <c r="AX253" s="10109"/>
      <c r="AY253" s="10110"/>
      <c r="AZ253" s="10111"/>
      <c r="BA253" s="10112"/>
      <c r="BB253" s="10113"/>
      <c r="BC253" s="10114"/>
      <c r="BD253" s="10115"/>
      <c r="BE253" s="10116"/>
      <c r="BF253" s="10117"/>
      <c r="BG253" s="10118"/>
      <c r="BH253" s="10119"/>
      <c r="BI253" s="10120"/>
      <c r="BJ253" s="10121"/>
      <c r="BK253" s="10122"/>
      <c r="BL253" s="10123"/>
      <c r="BM253" s="10124"/>
      <c r="BN253" s="10125"/>
      <c r="BO253" s="10126"/>
      <c r="BP253" s="10127"/>
      <c r="BQ253" s="10128"/>
      <c r="BR253" s="10129"/>
      <c r="BS253" s="10130"/>
      <c r="BT253" s="10131"/>
      <c r="BU253" s="10132"/>
      <c r="BV253" s="10133"/>
      <c r="BW253" s="10134"/>
      <c r="BX253" s="10135"/>
      <c r="BY253" s="10136"/>
      <c r="BZ253" s="10137"/>
      <c r="CA253" s="10138"/>
      <c r="CB253" s="10139"/>
      <c r="CC253" s="10140"/>
      <c r="CD253" s="10141"/>
      <c r="CE253" s="10142"/>
      <c r="CF253" s="10143"/>
      <c r="CG253" s="10144"/>
      <c r="CH253" s="10145"/>
      <c r="CI253" s="10146"/>
      <c r="CJ253" s="10147"/>
      <c r="CK253" s="10148"/>
      <c r="CL253" s="10149"/>
      <c r="CM253" s="10150"/>
      <c r="CN253" s="10151"/>
      <c r="CO253" s="10152"/>
      <c r="CP253" s="10153"/>
      <c r="CQ253" s="10154"/>
      <c r="CR253" s="10155"/>
      <c r="CS253" s="10156"/>
      <c r="CT253" s="10157"/>
      <c r="CU253" s="10158"/>
      <c r="CV253" s="10159"/>
      <c r="CW253" s="10160"/>
      <c r="CX253" s="10161"/>
      <c r="CY253" s="10162"/>
      <c r="CZ253" s="10163"/>
      <c r="DA253" s="10164"/>
      <c r="DB253" s="10165"/>
      <c r="DC253" s="10166"/>
      <c r="DD253" s="10167"/>
      <c r="DE253" s="10168"/>
      <c r="DF253" s="10169"/>
      <c r="DG253" s="10170"/>
      <c r="DH253" s="10171"/>
      <c r="DI253" s="10172"/>
      <c r="DJ253" s="10173"/>
      <c r="DK253" s="10174"/>
      <c r="DL253" s="10175"/>
      <c r="DM253" s="10176"/>
      <c r="DN253" s="10177"/>
      <c r="DO253" s="10178"/>
      <c r="DP253" s="10179"/>
      <c r="DQ253" s="10180"/>
      <c r="DR253" s="10181"/>
      <c r="DS253" s="10182"/>
      <c r="DT253" s="10183"/>
      <c r="DU253" s="10184"/>
      <c r="DV253" s="10185"/>
      <c r="DW253" s="10186"/>
      <c r="DX253" s="10187"/>
      <c r="DY253" s="10188"/>
      <c r="DZ253" s="10189"/>
      <c r="EA253" s="10190"/>
      <c r="EB253" s="10191"/>
      <c r="EC253" s="10192"/>
      <c r="ED253" s="10193"/>
      <c r="EE253" s="10194"/>
      <c r="EF253" s="10195"/>
      <c r="EG253" s="10196"/>
      <c r="EH253" s="10197"/>
      <c r="EI253" s="10198"/>
      <c r="EJ253" s="10199"/>
      <c r="EK253" s="10200"/>
      <c r="EL253" s="10201"/>
      <c r="EM253" s="15388"/>
      <c r="EN253" s="15389"/>
      <c r="EO253" s="15390"/>
      <c r="EP253" s="15391"/>
      <c r="EQ253" s="15392"/>
      <c r="ER253" s="15393"/>
      <c r="ES253" s="15394"/>
      <c r="ET253" s="15395"/>
      <c r="EU253" s="15396"/>
      <c r="EV253" s="15397"/>
      <c r="EW253" s="15398"/>
      <c r="EX253" s="10202"/>
      <c r="EY253" s="2511" t="s">
        <v>622</v>
      </c>
      <c r="EZ253" s="2199"/>
      <c r="FA253" s="2512"/>
      <c r="FB253" s="2512" t="str">
        <f t="shared" si="4"/>
        <v>Добавить значение признака дифференциации</v>
      </c>
      <c r="FC253" s="2512"/>
      <c r="FD253" s="2512"/>
    </row>
    <row r="254" spans="1:160" s="15399" customFormat="1" ht="21" customHeight="1">
      <c r="A254" s="2502"/>
      <c r="B254" s="2502"/>
      <c r="C254" s="2502"/>
      <c r="D254" s="2502"/>
      <c r="E254" s="16125"/>
      <c r="F254" s="16125" t="s">
        <v>132</v>
      </c>
      <c r="G254" s="16125"/>
      <c r="H254" s="16125"/>
      <c r="I254" s="16122"/>
      <c r="J254" s="2502"/>
      <c r="K254" s="2502"/>
      <c r="L254" s="2503"/>
      <c r="M254" s="2513"/>
      <c r="N254" s="2513"/>
      <c r="O254" s="2513"/>
      <c r="P254" s="16123"/>
      <c r="Q254" s="2514"/>
      <c r="R254" s="2515"/>
      <c r="S254" s="10203"/>
      <c r="T254" s="10204" t="s">
        <v>549</v>
      </c>
      <c r="U254" s="10205"/>
      <c r="V254" s="10206"/>
      <c r="W254" s="10207"/>
      <c r="X254" s="10208"/>
      <c r="Y254" s="10209"/>
      <c r="Z254" s="10210"/>
      <c r="AA254" s="10211"/>
      <c r="AB254" s="10212"/>
      <c r="AC254" s="10213"/>
      <c r="AD254" s="10214"/>
      <c r="AE254" s="10215"/>
      <c r="AF254" s="10216"/>
      <c r="AG254" s="10217"/>
      <c r="AH254" s="10218"/>
      <c r="AI254" s="10219"/>
      <c r="AJ254" s="10220"/>
      <c r="AK254" s="10221"/>
      <c r="AL254" s="10222"/>
      <c r="AM254" s="10223"/>
      <c r="AN254" s="10224"/>
      <c r="AO254" s="10225"/>
      <c r="AP254" s="10226"/>
      <c r="AQ254" s="10227"/>
      <c r="AR254" s="10228"/>
      <c r="AS254" s="10229"/>
      <c r="AT254" s="10230"/>
      <c r="AU254" s="10231"/>
      <c r="AV254" s="10232"/>
      <c r="AW254" s="10233"/>
      <c r="AX254" s="10234"/>
      <c r="AY254" s="10235"/>
      <c r="AZ254" s="10236"/>
      <c r="BA254" s="10237"/>
      <c r="BB254" s="10238"/>
      <c r="BC254" s="10239"/>
      <c r="BD254" s="10240"/>
      <c r="BE254" s="10241"/>
      <c r="BF254" s="10242"/>
      <c r="BG254" s="10243"/>
      <c r="BH254" s="10244"/>
      <c r="BI254" s="10245"/>
      <c r="BJ254" s="10246"/>
      <c r="BK254" s="10247"/>
      <c r="BL254" s="10248"/>
      <c r="BM254" s="10249"/>
      <c r="BN254" s="10250"/>
      <c r="BO254" s="10251"/>
      <c r="BP254" s="10252"/>
      <c r="BQ254" s="10253"/>
      <c r="BR254" s="10254"/>
      <c r="BS254" s="10255"/>
      <c r="BT254" s="10256"/>
      <c r="BU254" s="10257"/>
      <c r="BV254" s="10258"/>
      <c r="BW254" s="10259"/>
      <c r="BX254" s="10260"/>
      <c r="BY254" s="10261"/>
      <c r="BZ254" s="10262"/>
      <c r="CA254" s="10263"/>
      <c r="CB254" s="10264"/>
      <c r="CC254" s="10265"/>
      <c r="CD254" s="10266"/>
      <c r="CE254" s="10267"/>
      <c r="CF254" s="10268"/>
      <c r="CG254" s="10269"/>
      <c r="CH254" s="10270"/>
      <c r="CI254" s="10271"/>
      <c r="CJ254" s="10272"/>
      <c r="CK254" s="10273"/>
      <c r="CL254" s="10274"/>
      <c r="CM254" s="10275"/>
      <c r="CN254" s="10276"/>
      <c r="CO254" s="10277"/>
      <c r="CP254" s="10278"/>
      <c r="CQ254" s="10279"/>
      <c r="CR254" s="10280"/>
      <c r="CS254" s="10281"/>
      <c r="CT254" s="10282"/>
      <c r="CU254" s="10283"/>
      <c r="CV254" s="10284"/>
      <c r="CW254" s="10285"/>
      <c r="CX254" s="10286"/>
      <c r="CY254" s="10287"/>
      <c r="CZ254" s="10288"/>
      <c r="DA254" s="10289"/>
      <c r="DB254" s="10290"/>
      <c r="DC254" s="10291"/>
      <c r="DD254" s="10292"/>
      <c r="DE254" s="10293"/>
      <c r="DF254" s="10294"/>
      <c r="DG254" s="10295"/>
      <c r="DH254" s="10296"/>
      <c r="DI254" s="10297"/>
      <c r="DJ254" s="10298"/>
      <c r="DK254" s="10299"/>
      <c r="DL254" s="10300"/>
      <c r="DM254" s="10301"/>
      <c r="DN254" s="10302"/>
      <c r="DO254" s="10303"/>
      <c r="DP254" s="10304"/>
      <c r="DQ254" s="10305"/>
      <c r="DR254" s="10306"/>
      <c r="DS254" s="10307"/>
      <c r="DT254" s="10308"/>
      <c r="DU254" s="10309"/>
      <c r="DV254" s="10310"/>
      <c r="DW254" s="10311"/>
      <c r="DX254" s="10312"/>
      <c r="DY254" s="10313"/>
      <c r="DZ254" s="10314"/>
      <c r="EA254" s="10315"/>
      <c r="EB254" s="10316"/>
      <c r="EC254" s="10317"/>
      <c r="ED254" s="10318"/>
      <c r="EE254" s="10319"/>
      <c r="EF254" s="10320"/>
      <c r="EG254" s="10321"/>
      <c r="EH254" s="10322"/>
      <c r="EI254" s="10323"/>
      <c r="EJ254" s="10324"/>
      <c r="EK254" s="10325"/>
      <c r="EL254" s="10326"/>
      <c r="EM254" s="15400"/>
      <c r="EN254" s="15401"/>
      <c r="EO254" s="15402"/>
      <c r="EP254" s="15403"/>
      <c r="EQ254" s="15404"/>
      <c r="ER254" s="15405"/>
      <c r="ES254" s="15406"/>
      <c r="ET254" s="15407"/>
      <c r="EU254" s="15408"/>
      <c r="EV254" s="15409"/>
      <c r="EW254" s="15410"/>
      <c r="EX254" s="10327"/>
      <c r="EY254" s="10328"/>
      <c r="EZ254" s="2199"/>
      <c r="FA254" s="2512"/>
      <c r="FB254" s="2512" t="str">
        <f t="shared" si="4"/>
        <v>Добавить группу потребителей</v>
      </c>
      <c r="FC254" s="2512"/>
      <c r="FD254" s="2512"/>
    </row>
    <row r="255" spans="1:160" s="15411" customFormat="1" ht="21" customHeight="1">
      <c r="A255" s="2502"/>
      <c r="B255" s="2502"/>
      <c r="C255" s="2502"/>
      <c r="D255" s="2502"/>
      <c r="E255" s="16125"/>
      <c r="F255" s="16125" t="s">
        <v>132</v>
      </c>
      <c r="G255" s="16125"/>
      <c r="H255" s="16124"/>
      <c r="I255" s="2502"/>
      <c r="J255" s="2502"/>
      <c r="K255" s="2502"/>
      <c r="L255" s="2503"/>
      <c r="M255" s="2504"/>
      <c r="N255" s="2504"/>
      <c r="O255" s="2193"/>
      <c r="P255" s="2775"/>
      <c r="Q255" s="2776"/>
      <c r="R255" s="2777"/>
      <c r="S255" s="10329"/>
      <c r="T255" s="10330" t="s">
        <v>623</v>
      </c>
      <c r="U255" s="10331"/>
      <c r="V255" s="10332"/>
      <c r="W255" s="10333"/>
      <c r="X255" s="10334"/>
      <c r="Y255" s="10335"/>
      <c r="Z255" s="10336"/>
      <c r="AA255" s="10337"/>
      <c r="AB255" s="10338"/>
      <c r="AC255" s="10339"/>
      <c r="AD255" s="10340"/>
      <c r="AE255" s="10341"/>
      <c r="AF255" s="10342"/>
      <c r="AG255" s="10343"/>
      <c r="AH255" s="10344"/>
      <c r="AI255" s="10345"/>
      <c r="AJ255" s="10346"/>
      <c r="AK255" s="10347"/>
      <c r="AL255" s="10348"/>
      <c r="AM255" s="10349"/>
      <c r="AN255" s="10350"/>
      <c r="AO255" s="10351"/>
      <c r="AP255" s="10352"/>
      <c r="AQ255" s="10353"/>
      <c r="AR255" s="10354"/>
      <c r="AS255" s="10355"/>
      <c r="AT255" s="10356"/>
      <c r="AU255" s="10357"/>
      <c r="AV255" s="10358"/>
      <c r="AW255" s="10359"/>
      <c r="AX255" s="10360"/>
      <c r="AY255" s="10361"/>
      <c r="AZ255" s="10362"/>
      <c r="BA255" s="10363"/>
      <c r="BB255" s="10364"/>
      <c r="BC255" s="10365"/>
      <c r="BD255" s="10366"/>
      <c r="BE255" s="10367"/>
      <c r="BF255" s="10368"/>
      <c r="BG255" s="10369"/>
      <c r="BH255" s="10370"/>
      <c r="BI255" s="10371"/>
      <c r="BJ255" s="10372"/>
      <c r="BK255" s="10373"/>
      <c r="BL255" s="10374"/>
      <c r="BM255" s="10375"/>
      <c r="BN255" s="10376"/>
      <c r="BO255" s="10377"/>
      <c r="BP255" s="10378"/>
      <c r="BQ255" s="10379"/>
      <c r="BR255" s="10380"/>
      <c r="BS255" s="10381"/>
      <c r="BT255" s="10382"/>
      <c r="BU255" s="10383"/>
      <c r="BV255" s="10384"/>
      <c r="BW255" s="10385"/>
      <c r="BX255" s="10386"/>
      <c r="BY255" s="10387"/>
      <c r="BZ255" s="10388"/>
      <c r="CA255" s="10389"/>
      <c r="CB255" s="10390"/>
      <c r="CC255" s="10391"/>
      <c r="CD255" s="10392"/>
      <c r="CE255" s="10393"/>
      <c r="CF255" s="10394"/>
      <c r="CG255" s="10395"/>
      <c r="CH255" s="10396"/>
      <c r="CI255" s="10397"/>
      <c r="CJ255" s="10398"/>
      <c r="CK255" s="10399"/>
      <c r="CL255" s="10400"/>
      <c r="CM255" s="10401"/>
      <c r="CN255" s="10402"/>
      <c r="CO255" s="10403"/>
      <c r="CP255" s="10404"/>
      <c r="CQ255" s="10405"/>
      <c r="CR255" s="10406"/>
      <c r="CS255" s="10407"/>
      <c r="CT255" s="10408"/>
      <c r="CU255" s="10409"/>
      <c r="CV255" s="10410"/>
      <c r="CW255" s="10411"/>
      <c r="CX255" s="10412"/>
      <c r="CY255" s="10413"/>
      <c r="CZ255" s="10414"/>
      <c r="DA255" s="10415"/>
      <c r="DB255" s="10416"/>
      <c r="DC255" s="10417"/>
      <c r="DD255" s="10418"/>
      <c r="DE255" s="10419"/>
      <c r="DF255" s="10420"/>
      <c r="DG255" s="10421"/>
      <c r="DH255" s="10422"/>
      <c r="DI255" s="10423"/>
      <c r="DJ255" s="10424"/>
      <c r="DK255" s="10425"/>
      <c r="DL255" s="10426"/>
      <c r="DM255" s="10427"/>
      <c r="DN255" s="10428"/>
      <c r="DO255" s="10429"/>
      <c r="DP255" s="10430"/>
      <c r="DQ255" s="10431"/>
      <c r="DR255" s="10432"/>
      <c r="DS255" s="10433"/>
      <c r="DT255" s="10434"/>
      <c r="DU255" s="10435"/>
      <c r="DV255" s="10436"/>
      <c r="DW255" s="10437"/>
      <c r="DX255" s="10438"/>
      <c r="DY255" s="10439"/>
      <c r="DZ255" s="10440"/>
      <c r="EA255" s="10441"/>
      <c r="EB255" s="10442"/>
      <c r="EC255" s="10443"/>
      <c r="ED255" s="10444"/>
      <c r="EE255" s="10445"/>
      <c r="EF255" s="10446"/>
      <c r="EG255" s="10447"/>
      <c r="EH255" s="10448"/>
      <c r="EI255" s="10449"/>
      <c r="EJ255" s="10450"/>
      <c r="EK255" s="10451"/>
      <c r="EL255" s="10452"/>
      <c r="EM255" s="15412"/>
      <c r="EN255" s="15413"/>
      <c r="EO255" s="15414"/>
      <c r="EP255" s="15415"/>
      <c r="EQ255" s="15416"/>
      <c r="ER255" s="15417"/>
      <c r="ES255" s="15418"/>
      <c r="ET255" s="15419"/>
      <c r="EU255" s="15420"/>
      <c r="EV255" s="15421"/>
      <c r="EW255" s="15422"/>
      <c r="EX255" s="10453"/>
      <c r="EY255" s="10454"/>
      <c r="EZ255" s="2199"/>
      <c r="FA255" s="2512"/>
      <c r="FB255" s="2512" t="str">
        <f t="shared" si="4"/>
        <v>Добавить наименование признака дифференциации</v>
      </c>
      <c r="FC255" s="2512"/>
      <c r="FD255" s="2512"/>
    </row>
    <row r="256" spans="1:160" s="15423" customFormat="1" ht="14.25" customHeight="1">
      <c r="A256" s="3283"/>
      <c r="B256" s="3283"/>
      <c r="C256" s="3283"/>
      <c r="D256" s="3283"/>
      <c r="E256" s="16125"/>
      <c r="F256" s="16124" t="s">
        <v>132</v>
      </c>
      <c r="G256" s="3283"/>
      <c r="H256" s="3283"/>
      <c r="I256" s="3283"/>
      <c r="J256" s="3283"/>
      <c r="K256" s="3283"/>
      <c r="L256" s="3284"/>
      <c r="M256" s="3285"/>
      <c r="N256" s="3285"/>
      <c r="O256" s="2199"/>
      <c r="P256" s="3286"/>
      <c r="Q256" s="3287"/>
      <c r="R256" s="3286"/>
      <c r="S256" s="3288"/>
      <c r="T256" s="3289" t="s">
        <v>290</v>
      </c>
      <c r="U256" s="2192"/>
      <c r="V256" s="2192"/>
      <c r="W256" s="2192"/>
      <c r="X256" s="2192"/>
      <c r="Y256" s="2192"/>
      <c r="Z256" s="2192"/>
      <c r="AA256" s="2192"/>
      <c r="AB256" s="2192"/>
      <c r="AC256" s="2192"/>
      <c r="AD256" s="2192"/>
      <c r="AE256" s="2192"/>
      <c r="AF256" s="2192"/>
      <c r="AG256" s="2192"/>
      <c r="AH256" s="2192"/>
      <c r="AI256" s="2192"/>
      <c r="AJ256" s="2192"/>
      <c r="AK256" s="2192"/>
      <c r="AL256" s="2192"/>
      <c r="AM256" s="2192"/>
      <c r="AN256" s="2192"/>
      <c r="AO256" s="2192"/>
      <c r="AP256" s="2192"/>
      <c r="AQ256" s="2192"/>
      <c r="AR256" s="2192"/>
      <c r="AS256" s="2192"/>
      <c r="AT256" s="2192"/>
      <c r="AU256" s="2192"/>
      <c r="AV256" s="2192"/>
      <c r="AW256" s="2192"/>
      <c r="AX256" s="2192"/>
      <c r="AY256" s="2192"/>
      <c r="AZ256" s="2192"/>
      <c r="BA256" s="2192"/>
      <c r="BB256" s="2192"/>
      <c r="BC256" s="2192"/>
      <c r="BD256" s="2192"/>
      <c r="BE256" s="2192"/>
      <c r="BF256" s="2192"/>
      <c r="BG256" s="2192"/>
      <c r="BH256" s="2192"/>
      <c r="BI256" s="2192"/>
      <c r="BJ256" s="2192"/>
      <c r="BK256" s="2192"/>
      <c r="BL256" s="2192"/>
      <c r="BM256" s="2192"/>
      <c r="BN256" s="2192"/>
      <c r="BO256" s="2192"/>
      <c r="BP256" s="2192"/>
      <c r="BQ256" s="2192"/>
      <c r="BR256" s="2192"/>
      <c r="BS256" s="2192"/>
      <c r="BT256" s="2192"/>
      <c r="BU256" s="2192"/>
      <c r="BV256" s="2192"/>
      <c r="BW256" s="2192"/>
      <c r="BX256" s="2192"/>
      <c r="BY256" s="2192"/>
      <c r="BZ256" s="2192"/>
      <c r="CA256" s="2192"/>
      <c r="CB256" s="2192"/>
      <c r="CC256" s="2192"/>
      <c r="CD256" s="2192"/>
      <c r="CE256" s="2192"/>
      <c r="CF256" s="2192"/>
      <c r="CG256" s="2192"/>
      <c r="CH256" s="2192"/>
      <c r="CI256" s="2192"/>
      <c r="CJ256" s="2192"/>
      <c r="CK256" s="2192"/>
      <c r="CL256" s="2192"/>
      <c r="CM256" s="2192"/>
      <c r="CN256" s="2192"/>
      <c r="CO256" s="2192"/>
      <c r="CP256" s="2192"/>
      <c r="CQ256" s="2192"/>
      <c r="CR256" s="2192"/>
      <c r="CS256" s="2192"/>
      <c r="CT256" s="2192"/>
      <c r="CU256" s="2192"/>
      <c r="CV256" s="2192"/>
      <c r="CW256" s="2192"/>
      <c r="CX256" s="2192"/>
      <c r="CY256" s="2192"/>
      <c r="CZ256" s="2192"/>
      <c r="DA256" s="2192"/>
      <c r="DB256" s="2192"/>
      <c r="DC256" s="2192"/>
      <c r="DD256" s="2192"/>
      <c r="DE256" s="2192"/>
      <c r="DF256" s="2192"/>
      <c r="DG256" s="2192"/>
      <c r="DH256" s="2192"/>
      <c r="DI256" s="2192"/>
      <c r="DJ256" s="2192"/>
      <c r="DK256" s="2192"/>
      <c r="DL256" s="2192"/>
      <c r="DM256" s="2192"/>
      <c r="DN256" s="2192"/>
      <c r="DO256" s="2192"/>
      <c r="DP256" s="2192"/>
      <c r="DQ256" s="2192"/>
      <c r="DR256" s="2192"/>
      <c r="DS256" s="2192"/>
      <c r="DT256" s="2192"/>
      <c r="DU256" s="2192"/>
      <c r="DV256" s="2192"/>
      <c r="DW256" s="2192"/>
      <c r="DX256" s="2192"/>
      <c r="DY256" s="2192"/>
      <c r="DZ256" s="2192"/>
      <c r="EA256" s="2192"/>
      <c r="EB256" s="2192"/>
      <c r="EC256" s="2192"/>
      <c r="ED256" s="2192"/>
      <c r="EE256" s="2192"/>
      <c r="EF256" s="2192"/>
      <c r="EG256" s="2192"/>
      <c r="EH256" s="2192"/>
      <c r="EI256" s="2192"/>
      <c r="EJ256" s="2192"/>
      <c r="EK256" s="2192"/>
      <c r="EL256" s="2192"/>
      <c r="EM256" s="14483"/>
      <c r="EN256" s="14483"/>
      <c r="EO256" s="14483"/>
      <c r="EP256" s="14483"/>
      <c r="EQ256" s="14483"/>
      <c r="ER256" s="14483"/>
      <c r="ES256" s="14483"/>
      <c r="ET256" s="14483"/>
      <c r="EU256" s="14483"/>
      <c r="EV256" s="14483"/>
      <c r="EW256" s="14483"/>
      <c r="EX256" s="2192"/>
      <c r="EY256" s="2192"/>
      <c r="EZ256" s="2199"/>
      <c r="FA256" s="2512"/>
      <c r="FB256" s="2512" t="str">
        <f t="shared" si="4"/>
        <v>Добавить централизованную систему для дифференциации</v>
      </c>
      <c r="FC256" s="2512"/>
      <c r="FD256" s="2512"/>
    </row>
    <row r="257" spans="1:160" s="15424" customFormat="1" ht="14.25" customHeight="1">
      <c r="A257" s="3283"/>
      <c r="B257" s="3283"/>
      <c r="C257" s="3283"/>
      <c r="D257" s="3283"/>
      <c r="E257" s="16124">
        <v>1</v>
      </c>
      <c r="F257" s="3283"/>
      <c r="G257" s="3283"/>
      <c r="H257" s="3283"/>
      <c r="I257" s="3283"/>
      <c r="J257" s="3283"/>
      <c r="K257" s="3283"/>
      <c r="L257" s="3284"/>
      <c r="M257" s="3285"/>
      <c r="N257" s="3285"/>
      <c r="O257" s="2199"/>
      <c r="P257" s="3286"/>
      <c r="Q257" s="3287"/>
      <c r="R257" s="3286"/>
      <c r="S257" s="3288"/>
      <c r="T257" s="3289" t="s">
        <v>326</v>
      </c>
      <c r="U257" s="2192"/>
      <c r="V257" s="2192"/>
      <c r="W257" s="2192"/>
      <c r="X257" s="2192"/>
      <c r="Y257" s="2192"/>
      <c r="Z257" s="2192"/>
      <c r="AA257" s="2192"/>
      <c r="AB257" s="2192"/>
      <c r="AC257" s="2192"/>
      <c r="AD257" s="2192"/>
      <c r="AE257" s="2192"/>
      <c r="AF257" s="2192"/>
      <c r="AG257" s="2192"/>
      <c r="AH257" s="2192"/>
      <c r="AI257" s="2192"/>
      <c r="AJ257" s="2192"/>
      <c r="AK257" s="2192"/>
      <c r="AL257" s="2192"/>
      <c r="AM257" s="2192"/>
      <c r="AN257" s="2192"/>
      <c r="AO257" s="2192"/>
      <c r="AP257" s="2192"/>
      <c r="AQ257" s="2192"/>
      <c r="AR257" s="2192"/>
      <c r="AS257" s="2192"/>
      <c r="AT257" s="2192"/>
      <c r="AU257" s="2192"/>
      <c r="AV257" s="2192"/>
      <c r="AW257" s="2192"/>
      <c r="AX257" s="2192"/>
      <c r="AY257" s="2192"/>
      <c r="AZ257" s="2192"/>
      <c r="BA257" s="2192"/>
      <c r="BB257" s="2192"/>
      <c r="BC257" s="2192"/>
      <c r="BD257" s="2192"/>
      <c r="BE257" s="2192"/>
      <c r="BF257" s="2192"/>
      <c r="BG257" s="2192"/>
      <c r="BH257" s="2192"/>
      <c r="BI257" s="2192"/>
      <c r="BJ257" s="2192"/>
      <c r="BK257" s="2192"/>
      <c r="BL257" s="2192"/>
      <c r="BM257" s="2192"/>
      <c r="BN257" s="2192"/>
      <c r="BO257" s="2192"/>
      <c r="BP257" s="2192"/>
      <c r="BQ257" s="2192"/>
      <c r="BR257" s="2192"/>
      <c r="BS257" s="2192"/>
      <c r="BT257" s="2192"/>
      <c r="BU257" s="2192"/>
      <c r="BV257" s="2192"/>
      <c r="BW257" s="2192"/>
      <c r="BX257" s="2192"/>
      <c r="BY257" s="2192"/>
      <c r="BZ257" s="2192"/>
      <c r="CA257" s="2192"/>
      <c r="CB257" s="2192"/>
      <c r="CC257" s="2192"/>
      <c r="CD257" s="2192"/>
      <c r="CE257" s="2192"/>
      <c r="CF257" s="2192"/>
      <c r="CG257" s="2192"/>
      <c r="CH257" s="2192"/>
      <c r="CI257" s="2192"/>
      <c r="CJ257" s="2192"/>
      <c r="CK257" s="2192"/>
      <c r="CL257" s="2192"/>
      <c r="CM257" s="2192"/>
      <c r="CN257" s="2192"/>
      <c r="CO257" s="2192"/>
      <c r="CP257" s="2192"/>
      <c r="CQ257" s="2192"/>
      <c r="CR257" s="2192"/>
      <c r="CS257" s="2192"/>
      <c r="CT257" s="2192"/>
      <c r="CU257" s="2192"/>
      <c r="CV257" s="2192"/>
      <c r="CW257" s="2192"/>
      <c r="CX257" s="2192"/>
      <c r="CY257" s="2192"/>
      <c r="CZ257" s="2192"/>
      <c r="DA257" s="2192"/>
      <c r="DB257" s="2192"/>
      <c r="DC257" s="2192"/>
      <c r="DD257" s="2192"/>
      <c r="DE257" s="2192"/>
      <c r="DF257" s="2192"/>
      <c r="DG257" s="2192"/>
      <c r="DH257" s="2192"/>
      <c r="DI257" s="2192"/>
      <c r="DJ257" s="2192"/>
      <c r="DK257" s="2192"/>
      <c r="DL257" s="2192"/>
      <c r="DM257" s="2192"/>
      <c r="DN257" s="2192"/>
      <c r="DO257" s="2192"/>
      <c r="DP257" s="2192"/>
      <c r="DQ257" s="2192"/>
      <c r="DR257" s="2192"/>
      <c r="DS257" s="2192"/>
      <c r="DT257" s="2192"/>
      <c r="DU257" s="2192"/>
      <c r="DV257" s="2192"/>
      <c r="DW257" s="2192"/>
      <c r="DX257" s="2192"/>
      <c r="DY257" s="2192"/>
      <c r="DZ257" s="2192"/>
      <c r="EA257" s="2192"/>
      <c r="EB257" s="2192"/>
      <c r="EC257" s="2192"/>
      <c r="ED257" s="2192"/>
      <c r="EE257" s="2192"/>
      <c r="EF257" s="2192"/>
      <c r="EG257" s="2192"/>
      <c r="EH257" s="2192"/>
      <c r="EI257" s="2192"/>
      <c r="EJ257" s="2192"/>
      <c r="EK257" s="2192"/>
      <c r="EL257" s="2192"/>
      <c r="EM257" s="14483"/>
      <c r="EN257" s="14483"/>
      <c r="EO257" s="14483"/>
      <c r="EP257" s="14483"/>
      <c r="EQ257" s="14483"/>
      <c r="ER257" s="14483"/>
      <c r="ES257" s="14483"/>
      <c r="ET257" s="14483"/>
      <c r="EU257" s="14483"/>
      <c r="EV257" s="14483"/>
      <c r="EW257" s="14483"/>
      <c r="EX257" s="2192"/>
      <c r="EY257" s="2192"/>
      <c r="EZ257" s="2199"/>
      <c r="FA257" s="2512"/>
      <c r="FB257" s="2512" t="str">
        <f t="shared" si="4"/>
        <v>Добавить территорию для дифференциации</v>
      </c>
      <c r="FC257" s="2512"/>
      <c r="FD257" s="2512"/>
    </row>
    <row r="258" spans="1:160" s="15425" customFormat="1" ht="23.25" customHeight="1">
      <c r="A258" s="10490" t="s">
        <v>360</v>
      </c>
      <c r="B258" s="10490"/>
      <c r="C258" s="10490"/>
      <c r="D258" s="10490"/>
      <c r="E258" s="16124" t="s">
        <v>89</v>
      </c>
      <c r="F258" s="10490"/>
      <c r="G258" s="10490"/>
      <c r="H258" s="10490"/>
      <c r="I258" s="10490"/>
      <c r="J258" s="10490"/>
      <c r="K258" s="10490"/>
      <c r="L258" s="10491"/>
      <c r="M258" s="10492"/>
      <c r="N258" s="10492"/>
      <c r="O258" s="10492"/>
      <c r="P258" s="10493"/>
      <c r="Q258" s="10494"/>
      <c r="R258" s="10495"/>
      <c r="S258" s="10496" t="str">
        <f>INDEX(PT_DIFFERENTIATION_NUM_NTAR,MATCH(A258,PT_DIFFERENTIATION_NTAR_ID,0))</f>
        <v>3</v>
      </c>
      <c r="T258" s="10497" t="s">
        <v>158</v>
      </c>
      <c r="U258" s="10498"/>
      <c r="V258" s="16110"/>
      <c r="W258" s="16111"/>
      <c r="X258" s="16111"/>
      <c r="Y258" s="16111"/>
      <c r="Z258" s="16111"/>
      <c r="AA258" s="16111"/>
      <c r="AB258" s="16111"/>
      <c r="AC258" s="16111"/>
      <c r="AD258" s="16111"/>
      <c r="AE258" s="16111"/>
      <c r="AF258" s="16112"/>
      <c r="AG258" s="16110" t="str">
        <f>INDEX(PT_DIFFERENTIATION_NTAR,MATCH(A258,PT_DIFFERENTIATION_NTAR_ID,0))</f>
        <v>Тариф на горячую воду в закрытой системе горячего водоснабжения, поставляемую группе потребителей "потребители (кроме населения)"</v>
      </c>
      <c r="AH258" s="16111"/>
      <c r="AI258" s="16111"/>
      <c r="AJ258" s="16111"/>
      <c r="AK258" s="16111"/>
      <c r="AL258" s="16111"/>
      <c r="AM258" s="16111"/>
      <c r="AN258" s="16111"/>
      <c r="AO258" s="16111"/>
      <c r="AP258" s="16111"/>
      <c r="AQ258" s="16111"/>
      <c r="AR258" s="16110"/>
      <c r="AS258" s="16111"/>
      <c r="AT258" s="16111"/>
      <c r="AU258" s="16111"/>
      <c r="AV258" s="16111"/>
      <c r="AW258" s="16111"/>
      <c r="AX258" s="16111"/>
      <c r="AY258" s="16111"/>
      <c r="AZ258" s="16111"/>
      <c r="BA258" s="16111"/>
      <c r="BB258" s="16112"/>
      <c r="BC258" s="16110"/>
      <c r="BD258" s="16111"/>
      <c r="BE258" s="16111"/>
      <c r="BF258" s="16111"/>
      <c r="BG258" s="16111"/>
      <c r="BH258" s="16111"/>
      <c r="BI258" s="16111"/>
      <c r="BJ258" s="16111"/>
      <c r="BK258" s="16111"/>
      <c r="BL258" s="16111"/>
      <c r="BM258" s="16112"/>
      <c r="BN258" s="16110"/>
      <c r="BO258" s="16111"/>
      <c r="BP258" s="16111"/>
      <c r="BQ258" s="16111"/>
      <c r="BR258" s="16111"/>
      <c r="BS258" s="16111"/>
      <c r="BT258" s="16111"/>
      <c r="BU258" s="16111"/>
      <c r="BV258" s="16111"/>
      <c r="BW258" s="16111"/>
      <c r="BX258" s="16112"/>
      <c r="BY258" s="16110"/>
      <c r="BZ258" s="16111"/>
      <c r="CA258" s="16111"/>
      <c r="CB258" s="16111"/>
      <c r="CC258" s="16111"/>
      <c r="CD258" s="16111"/>
      <c r="CE258" s="16111"/>
      <c r="CF258" s="16111"/>
      <c r="CG258" s="16111"/>
      <c r="CH258" s="16111"/>
      <c r="CI258" s="16112"/>
      <c r="CJ258" s="16110"/>
      <c r="CK258" s="16111"/>
      <c r="CL258" s="16111"/>
      <c r="CM258" s="16111"/>
      <c r="CN258" s="16111"/>
      <c r="CO258" s="16111"/>
      <c r="CP258" s="16111"/>
      <c r="CQ258" s="16111"/>
      <c r="CR258" s="16111"/>
      <c r="CS258" s="16111"/>
      <c r="CT258" s="16112"/>
      <c r="CU258" s="16110"/>
      <c r="CV258" s="16111"/>
      <c r="CW258" s="16111"/>
      <c r="CX258" s="16111"/>
      <c r="CY258" s="16111"/>
      <c r="CZ258" s="16111"/>
      <c r="DA258" s="16111"/>
      <c r="DB258" s="16111"/>
      <c r="DC258" s="16111"/>
      <c r="DD258" s="16111"/>
      <c r="DE258" s="16112"/>
      <c r="DF258" s="16110"/>
      <c r="DG258" s="16111"/>
      <c r="DH258" s="16111"/>
      <c r="DI258" s="16111"/>
      <c r="DJ258" s="16111"/>
      <c r="DK258" s="16111"/>
      <c r="DL258" s="16111"/>
      <c r="DM258" s="16111"/>
      <c r="DN258" s="16111"/>
      <c r="DO258" s="16111"/>
      <c r="DP258" s="16112"/>
      <c r="DQ258" s="16110"/>
      <c r="DR258" s="16111"/>
      <c r="DS258" s="16111"/>
      <c r="DT258" s="16111"/>
      <c r="DU258" s="16111"/>
      <c r="DV258" s="16111"/>
      <c r="DW258" s="16111"/>
      <c r="DX258" s="16111"/>
      <c r="DY258" s="16111"/>
      <c r="DZ258" s="16111"/>
      <c r="EA258" s="16112"/>
      <c r="EB258" s="16110"/>
      <c r="EC258" s="16111"/>
      <c r="ED258" s="16111"/>
      <c r="EE258" s="16111"/>
      <c r="EF258" s="16111"/>
      <c r="EG258" s="16111"/>
      <c r="EH258" s="16111"/>
      <c r="EI258" s="16111"/>
      <c r="EJ258" s="16111"/>
      <c r="EK258" s="16111"/>
      <c r="EL258" s="16199"/>
      <c r="EM258" s="16110"/>
      <c r="EN258" s="16111"/>
      <c r="EO258" s="16111"/>
      <c r="EP258" s="16111"/>
      <c r="EQ258" s="16111"/>
      <c r="ER258" s="16111"/>
      <c r="ES258" s="16111"/>
      <c r="ET258" s="16111"/>
      <c r="EU258" s="16111"/>
      <c r="EV258" s="16111"/>
      <c r="EW258" s="16112"/>
      <c r="EX258" s="16112"/>
      <c r="EY258" s="10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Z258" s="10500"/>
      <c r="FA258" s="10501"/>
      <c r="FB258" s="10501" t="str">
        <f t="shared" si="4"/>
        <v>Наименование тарифа</v>
      </c>
      <c r="FC258" s="10501"/>
      <c r="FD258" s="10501"/>
    </row>
    <row r="259" spans="1:160" s="15426" customFormat="1" ht="23.25" customHeight="1">
      <c r="A259" s="10490"/>
      <c r="B259" s="10490" t="s">
        <v>361</v>
      </c>
      <c r="C259" s="10490"/>
      <c r="D259" s="10490"/>
      <c r="E259" s="16125" t="s">
        <v>102</v>
      </c>
      <c r="F259" s="16124">
        <v>1</v>
      </c>
      <c r="G259" s="10490"/>
      <c r="H259" s="10490"/>
      <c r="I259" s="10490"/>
      <c r="J259" s="10490"/>
      <c r="K259" s="10490"/>
      <c r="L259" s="10491"/>
      <c r="M259" s="10492"/>
      <c r="N259" s="10492"/>
      <c r="O259" s="10492"/>
      <c r="P259" s="10502"/>
      <c r="Q259" s="10503"/>
      <c r="R259" s="10504"/>
      <c r="S259" s="10496" t="str">
        <f>INDEX(PT_DIFFERENTIATION_NUM_TER,MATCH(B259,PT_DIFFERENTIATION_TER_ID,0))</f>
        <v>3.1</v>
      </c>
      <c r="T259" s="10505" t="s">
        <v>534</v>
      </c>
      <c r="U259" s="10498"/>
      <c r="V259" s="16110"/>
      <c r="W259" s="16111"/>
      <c r="X259" s="16111"/>
      <c r="Y259" s="16111"/>
      <c r="Z259" s="16111"/>
      <c r="AA259" s="16111"/>
      <c r="AB259" s="16111"/>
      <c r="AC259" s="16111"/>
      <c r="AD259" s="16111"/>
      <c r="AE259" s="16111"/>
      <c r="AF259" s="16112"/>
      <c r="AG259" s="16110" t="str">
        <f>INDEX(PT_DIFFERENTIATION_TER,MATCH(B259,PT_DIFFERENTIATION_TER_ID,0))</f>
        <v>Территория 1</v>
      </c>
      <c r="AH259" s="16111"/>
      <c r="AI259" s="16111"/>
      <c r="AJ259" s="16111"/>
      <c r="AK259" s="16111"/>
      <c r="AL259" s="16111"/>
      <c r="AM259" s="16111"/>
      <c r="AN259" s="16111"/>
      <c r="AO259" s="16111"/>
      <c r="AP259" s="16111"/>
      <c r="AQ259" s="16111"/>
      <c r="AR259" s="16110"/>
      <c r="AS259" s="16111"/>
      <c r="AT259" s="16111"/>
      <c r="AU259" s="16111"/>
      <c r="AV259" s="16111"/>
      <c r="AW259" s="16111"/>
      <c r="AX259" s="16111"/>
      <c r="AY259" s="16111"/>
      <c r="AZ259" s="16111"/>
      <c r="BA259" s="16111"/>
      <c r="BB259" s="16112"/>
      <c r="BC259" s="16110"/>
      <c r="BD259" s="16111"/>
      <c r="BE259" s="16111"/>
      <c r="BF259" s="16111"/>
      <c r="BG259" s="16111"/>
      <c r="BH259" s="16111"/>
      <c r="BI259" s="16111"/>
      <c r="BJ259" s="16111"/>
      <c r="BK259" s="16111"/>
      <c r="BL259" s="16111"/>
      <c r="BM259" s="16112"/>
      <c r="BN259" s="16110"/>
      <c r="BO259" s="16111"/>
      <c r="BP259" s="16111"/>
      <c r="BQ259" s="16111"/>
      <c r="BR259" s="16111"/>
      <c r="BS259" s="16111"/>
      <c r="BT259" s="16111"/>
      <c r="BU259" s="16111"/>
      <c r="BV259" s="16111"/>
      <c r="BW259" s="16111"/>
      <c r="BX259" s="16112"/>
      <c r="BY259" s="16110"/>
      <c r="BZ259" s="16111"/>
      <c r="CA259" s="16111"/>
      <c r="CB259" s="16111"/>
      <c r="CC259" s="16111"/>
      <c r="CD259" s="16111"/>
      <c r="CE259" s="16111"/>
      <c r="CF259" s="16111"/>
      <c r="CG259" s="16111"/>
      <c r="CH259" s="16111"/>
      <c r="CI259" s="16112"/>
      <c r="CJ259" s="16110"/>
      <c r="CK259" s="16111"/>
      <c r="CL259" s="16111"/>
      <c r="CM259" s="16111"/>
      <c r="CN259" s="16111"/>
      <c r="CO259" s="16111"/>
      <c r="CP259" s="16111"/>
      <c r="CQ259" s="16111"/>
      <c r="CR259" s="16111"/>
      <c r="CS259" s="16111"/>
      <c r="CT259" s="16112"/>
      <c r="CU259" s="16110"/>
      <c r="CV259" s="16111"/>
      <c r="CW259" s="16111"/>
      <c r="CX259" s="16111"/>
      <c r="CY259" s="16111"/>
      <c r="CZ259" s="16111"/>
      <c r="DA259" s="16111"/>
      <c r="DB259" s="16111"/>
      <c r="DC259" s="16111"/>
      <c r="DD259" s="16111"/>
      <c r="DE259" s="16112"/>
      <c r="DF259" s="16110"/>
      <c r="DG259" s="16111"/>
      <c r="DH259" s="16111"/>
      <c r="DI259" s="16111"/>
      <c r="DJ259" s="16111"/>
      <c r="DK259" s="16111"/>
      <c r="DL259" s="16111"/>
      <c r="DM259" s="16111"/>
      <c r="DN259" s="16111"/>
      <c r="DO259" s="16111"/>
      <c r="DP259" s="16112"/>
      <c r="DQ259" s="16110"/>
      <c r="DR259" s="16111"/>
      <c r="DS259" s="16111"/>
      <c r="DT259" s="16111"/>
      <c r="DU259" s="16111"/>
      <c r="DV259" s="16111"/>
      <c r="DW259" s="16111"/>
      <c r="DX259" s="16111"/>
      <c r="DY259" s="16111"/>
      <c r="DZ259" s="16111"/>
      <c r="EA259" s="16112"/>
      <c r="EB259" s="16110"/>
      <c r="EC259" s="16111"/>
      <c r="ED259" s="16111"/>
      <c r="EE259" s="16111"/>
      <c r="EF259" s="16111"/>
      <c r="EG259" s="16111"/>
      <c r="EH259" s="16111"/>
      <c r="EI259" s="16111"/>
      <c r="EJ259" s="16111"/>
      <c r="EK259" s="16111"/>
      <c r="EL259" s="16199"/>
      <c r="EM259" s="16110"/>
      <c r="EN259" s="16111"/>
      <c r="EO259" s="16111"/>
      <c r="EP259" s="16111"/>
      <c r="EQ259" s="16111"/>
      <c r="ER259" s="16111"/>
      <c r="ES259" s="16111"/>
      <c r="ET259" s="16111"/>
      <c r="EU259" s="16111"/>
      <c r="EV259" s="16111"/>
      <c r="EW259" s="16112"/>
      <c r="EX259" s="16112"/>
      <c r="EY259" s="10499" t="s">
        <v>535</v>
      </c>
      <c r="EZ259" s="10500"/>
      <c r="FA259" s="10501"/>
      <c r="FB259" s="10501" t="str">
        <f t="shared" si="4"/>
        <v>Территория действия тарифа</v>
      </c>
      <c r="FC259" s="10501"/>
      <c r="FD259" s="10501"/>
    </row>
    <row r="260" spans="1:160" s="15427" customFormat="1" ht="23.25" customHeight="1">
      <c r="A260" s="10490"/>
      <c r="B260" s="10490"/>
      <c r="C260" s="10490" t="s">
        <v>362</v>
      </c>
      <c r="D260" s="10490"/>
      <c r="E260" s="16125" t="s">
        <v>102</v>
      </c>
      <c r="F260" s="16125"/>
      <c r="G260" s="16124">
        <v>1</v>
      </c>
      <c r="H260" s="10490"/>
      <c r="I260" s="10490"/>
      <c r="J260" s="10490"/>
      <c r="K260" s="10490"/>
      <c r="L260" s="10491"/>
      <c r="M260" s="10492"/>
      <c r="N260" s="10492"/>
      <c r="O260" s="10492"/>
      <c r="P260" s="10506"/>
      <c r="Q260" s="10503"/>
      <c r="R260" s="10504"/>
      <c r="S260" s="10496" t="str">
        <f>INDEX(PT_DIFFERENTIATION_NUM_CS,MATCH(C260,PT_DIFFERENTIATION_CS_ID,0))</f>
        <v>3.1.1</v>
      </c>
      <c r="T260" s="10507" t="s">
        <v>665</v>
      </c>
      <c r="U260" s="10498"/>
      <c r="V260" s="16110"/>
      <c r="W260" s="16111"/>
      <c r="X260" s="16111"/>
      <c r="Y260" s="16111"/>
      <c r="Z260" s="16111"/>
      <c r="AA260" s="16111"/>
      <c r="AB260" s="16111"/>
      <c r="AC260" s="16111"/>
      <c r="AD260" s="16111"/>
      <c r="AE260" s="16111"/>
      <c r="AF260" s="16112"/>
      <c r="AG260" s="16110" t="str">
        <f>INDEX(PT_DIFFERENTIATION_CS,MATCH(C260,PT_DIFFERENTIATION_CS_ID,0))</f>
        <v>городской округ город-герой Мурманск (р-н Росляково)</v>
      </c>
      <c r="AH260" s="16111"/>
      <c r="AI260" s="16111"/>
      <c r="AJ260" s="16111"/>
      <c r="AK260" s="16111"/>
      <c r="AL260" s="16111"/>
      <c r="AM260" s="16111"/>
      <c r="AN260" s="16111"/>
      <c r="AO260" s="16111"/>
      <c r="AP260" s="16111"/>
      <c r="AQ260" s="16111"/>
      <c r="AR260" s="16110"/>
      <c r="AS260" s="16111"/>
      <c r="AT260" s="16111"/>
      <c r="AU260" s="16111"/>
      <c r="AV260" s="16111"/>
      <c r="AW260" s="16111"/>
      <c r="AX260" s="16111"/>
      <c r="AY260" s="16111"/>
      <c r="AZ260" s="16111"/>
      <c r="BA260" s="16111"/>
      <c r="BB260" s="16112"/>
      <c r="BC260" s="16110"/>
      <c r="BD260" s="16111"/>
      <c r="BE260" s="16111"/>
      <c r="BF260" s="16111"/>
      <c r="BG260" s="16111"/>
      <c r="BH260" s="16111"/>
      <c r="BI260" s="16111"/>
      <c r="BJ260" s="16111"/>
      <c r="BK260" s="16111"/>
      <c r="BL260" s="16111"/>
      <c r="BM260" s="16112"/>
      <c r="BN260" s="16110"/>
      <c r="BO260" s="16111"/>
      <c r="BP260" s="16111"/>
      <c r="BQ260" s="16111"/>
      <c r="BR260" s="16111"/>
      <c r="BS260" s="16111"/>
      <c r="BT260" s="16111"/>
      <c r="BU260" s="16111"/>
      <c r="BV260" s="16111"/>
      <c r="BW260" s="16111"/>
      <c r="BX260" s="16112"/>
      <c r="BY260" s="16110"/>
      <c r="BZ260" s="16111"/>
      <c r="CA260" s="16111"/>
      <c r="CB260" s="16111"/>
      <c r="CC260" s="16111"/>
      <c r="CD260" s="16111"/>
      <c r="CE260" s="16111"/>
      <c r="CF260" s="16111"/>
      <c r="CG260" s="16111"/>
      <c r="CH260" s="16111"/>
      <c r="CI260" s="16112"/>
      <c r="CJ260" s="16110"/>
      <c r="CK260" s="16111"/>
      <c r="CL260" s="16111"/>
      <c r="CM260" s="16111"/>
      <c r="CN260" s="16111"/>
      <c r="CO260" s="16111"/>
      <c r="CP260" s="16111"/>
      <c r="CQ260" s="16111"/>
      <c r="CR260" s="16111"/>
      <c r="CS260" s="16111"/>
      <c r="CT260" s="16112"/>
      <c r="CU260" s="16110"/>
      <c r="CV260" s="16111"/>
      <c r="CW260" s="16111"/>
      <c r="CX260" s="16111"/>
      <c r="CY260" s="16111"/>
      <c r="CZ260" s="16111"/>
      <c r="DA260" s="16111"/>
      <c r="DB260" s="16111"/>
      <c r="DC260" s="16111"/>
      <c r="DD260" s="16111"/>
      <c r="DE260" s="16112"/>
      <c r="DF260" s="16110"/>
      <c r="DG260" s="16111"/>
      <c r="DH260" s="16111"/>
      <c r="DI260" s="16111"/>
      <c r="DJ260" s="16111"/>
      <c r="DK260" s="16111"/>
      <c r="DL260" s="16111"/>
      <c r="DM260" s="16111"/>
      <c r="DN260" s="16111"/>
      <c r="DO260" s="16111"/>
      <c r="DP260" s="16112"/>
      <c r="DQ260" s="16110"/>
      <c r="DR260" s="16111"/>
      <c r="DS260" s="16111"/>
      <c r="DT260" s="16111"/>
      <c r="DU260" s="16111"/>
      <c r="DV260" s="16111"/>
      <c r="DW260" s="16111"/>
      <c r="DX260" s="16111"/>
      <c r="DY260" s="16111"/>
      <c r="DZ260" s="16111"/>
      <c r="EA260" s="16112"/>
      <c r="EB260" s="16110"/>
      <c r="EC260" s="16111"/>
      <c r="ED260" s="16111"/>
      <c r="EE260" s="16111"/>
      <c r="EF260" s="16111"/>
      <c r="EG260" s="16111"/>
      <c r="EH260" s="16111"/>
      <c r="EI260" s="16111"/>
      <c r="EJ260" s="16111"/>
      <c r="EK260" s="16111"/>
      <c r="EL260" s="16199"/>
      <c r="EM260" s="16110"/>
      <c r="EN260" s="16111"/>
      <c r="EO260" s="16111"/>
      <c r="EP260" s="16111"/>
      <c r="EQ260" s="16111"/>
      <c r="ER260" s="16111"/>
      <c r="ES260" s="16111"/>
      <c r="ET260" s="16111"/>
      <c r="EU260" s="16111"/>
      <c r="EV260" s="16111"/>
      <c r="EW260" s="16112"/>
      <c r="EX260" s="16112"/>
      <c r="EY260" s="10499" t="s">
        <v>666</v>
      </c>
      <c r="EZ260" s="10500"/>
      <c r="FA260" s="10501"/>
      <c r="FB260" s="10501" t="str">
        <f t="shared" si="4"/>
        <v>Наименование централизованной системы горячего водоснабжения</v>
      </c>
      <c r="FC260" s="10501"/>
      <c r="FD260" s="10501"/>
    </row>
    <row r="261" spans="1:160" s="15428" customFormat="1" ht="23.25" customHeight="1">
      <c r="A261" s="10490"/>
      <c r="B261" s="10490"/>
      <c r="C261" s="10490"/>
      <c r="D261" s="10490"/>
      <c r="E261" s="16125" t="s">
        <v>102</v>
      </c>
      <c r="F261" s="16125"/>
      <c r="G261" s="16125"/>
      <c r="H261" s="16125"/>
      <c r="I261" s="16122" t="str">
        <f>S260&amp;".1"</f>
        <v>3.1.1.1</v>
      </c>
      <c r="J261" s="10490"/>
      <c r="K261" s="10490"/>
      <c r="L261" s="10491"/>
      <c r="M261" s="10508"/>
      <c r="N261" s="10508"/>
      <c r="O261" s="10508"/>
      <c r="P261" s="16123">
        <v>1</v>
      </c>
      <c r="Q261" s="10509"/>
      <c r="R261" s="10510"/>
      <c r="S261" s="10496" t="str">
        <f>$I261</f>
        <v>3.1.1.1</v>
      </c>
      <c r="T261" s="10511" t="s">
        <v>618</v>
      </c>
      <c r="U261" s="10498"/>
      <c r="V261" s="16183"/>
      <c r="W261" s="16184"/>
      <c r="X261" s="16184"/>
      <c r="Y261" s="16184"/>
      <c r="Z261" s="16184"/>
      <c r="AA261" s="16184"/>
      <c r="AB261" s="16184"/>
      <c r="AC261" s="16184"/>
      <c r="AD261" s="16184"/>
      <c r="AE261" s="16184"/>
      <c r="AF261" s="16185"/>
      <c r="AG261" s="16186"/>
      <c r="AH261" s="16187"/>
      <c r="AI261" s="16187"/>
      <c r="AJ261" s="16187"/>
      <c r="AK261" s="16187"/>
      <c r="AL261" s="16187"/>
      <c r="AM261" s="16187"/>
      <c r="AN261" s="16187"/>
      <c r="AO261" s="16187"/>
      <c r="AP261" s="16187"/>
      <c r="AQ261" s="16187"/>
      <c r="AR261" s="16183"/>
      <c r="AS261" s="16184"/>
      <c r="AT261" s="16184"/>
      <c r="AU261" s="16184"/>
      <c r="AV261" s="16184"/>
      <c r="AW261" s="16184"/>
      <c r="AX261" s="16184"/>
      <c r="AY261" s="16184"/>
      <c r="AZ261" s="16184"/>
      <c r="BA261" s="16184"/>
      <c r="BB261" s="16185"/>
      <c r="BC261" s="16183"/>
      <c r="BD261" s="16184"/>
      <c r="BE261" s="16184"/>
      <c r="BF261" s="16184"/>
      <c r="BG261" s="16184"/>
      <c r="BH261" s="16184"/>
      <c r="BI261" s="16184"/>
      <c r="BJ261" s="16184"/>
      <c r="BK261" s="16184"/>
      <c r="BL261" s="16184"/>
      <c r="BM261" s="16185"/>
      <c r="BN261" s="16183"/>
      <c r="BO261" s="16184"/>
      <c r="BP261" s="16184"/>
      <c r="BQ261" s="16184"/>
      <c r="BR261" s="16184"/>
      <c r="BS261" s="16184"/>
      <c r="BT261" s="16184"/>
      <c r="BU261" s="16184"/>
      <c r="BV261" s="16184"/>
      <c r="BW261" s="16184"/>
      <c r="BX261" s="16185"/>
      <c r="BY261" s="16183"/>
      <c r="BZ261" s="16184"/>
      <c r="CA261" s="16184"/>
      <c r="CB261" s="16184"/>
      <c r="CC261" s="16184"/>
      <c r="CD261" s="16184"/>
      <c r="CE261" s="16184"/>
      <c r="CF261" s="16184"/>
      <c r="CG261" s="16184"/>
      <c r="CH261" s="16184"/>
      <c r="CI261" s="16185"/>
      <c r="CJ261" s="16183"/>
      <c r="CK261" s="16184"/>
      <c r="CL261" s="16184"/>
      <c r="CM261" s="16184"/>
      <c r="CN261" s="16184"/>
      <c r="CO261" s="16184"/>
      <c r="CP261" s="16184"/>
      <c r="CQ261" s="16184"/>
      <c r="CR261" s="16184"/>
      <c r="CS261" s="16184"/>
      <c r="CT261" s="16185"/>
      <c r="CU261" s="16183"/>
      <c r="CV261" s="16184"/>
      <c r="CW261" s="16184"/>
      <c r="CX261" s="16184"/>
      <c r="CY261" s="16184"/>
      <c r="CZ261" s="16184"/>
      <c r="DA261" s="16184"/>
      <c r="DB261" s="16184"/>
      <c r="DC261" s="16184"/>
      <c r="DD261" s="16184"/>
      <c r="DE261" s="16185"/>
      <c r="DF261" s="16183"/>
      <c r="DG261" s="16184"/>
      <c r="DH261" s="16184"/>
      <c r="DI261" s="16184"/>
      <c r="DJ261" s="16184"/>
      <c r="DK261" s="16184"/>
      <c r="DL261" s="16184"/>
      <c r="DM261" s="16184"/>
      <c r="DN261" s="16184"/>
      <c r="DO261" s="16184"/>
      <c r="DP261" s="16185"/>
      <c r="DQ261" s="16183"/>
      <c r="DR261" s="16184"/>
      <c r="DS261" s="16184"/>
      <c r="DT261" s="16184"/>
      <c r="DU261" s="16184"/>
      <c r="DV261" s="16184"/>
      <c r="DW261" s="16184"/>
      <c r="DX261" s="16184"/>
      <c r="DY261" s="16184"/>
      <c r="DZ261" s="16184"/>
      <c r="EA261" s="16185"/>
      <c r="EB261" s="16183"/>
      <c r="EC261" s="16184"/>
      <c r="ED261" s="16184"/>
      <c r="EE261" s="16184"/>
      <c r="EF261" s="16184"/>
      <c r="EG261" s="16184"/>
      <c r="EH261" s="16184"/>
      <c r="EI261" s="16184"/>
      <c r="EJ261" s="16184"/>
      <c r="EK261" s="16184"/>
      <c r="EL261" s="16200"/>
      <c r="EM261" s="16183"/>
      <c r="EN261" s="16184"/>
      <c r="EO261" s="16184"/>
      <c r="EP261" s="16184"/>
      <c r="EQ261" s="16184"/>
      <c r="ER261" s="16184"/>
      <c r="ES261" s="16184"/>
      <c r="ET261" s="16184"/>
      <c r="EU261" s="16184"/>
      <c r="EV261" s="16184"/>
      <c r="EW261" s="16185"/>
      <c r="EX261" s="16188"/>
      <c r="EY261" s="10499" t="s">
        <v>619</v>
      </c>
      <c r="EZ261" s="10500"/>
      <c r="FA261" s="10501"/>
      <c r="FB261" s="10501" t="str">
        <f t="shared" si="4"/>
        <v>Наименование признака дифференциации</v>
      </c>
      <c r="FC261" s="10501"/>
      <c r="FD261" s="10501"/>
    </row>
    <row r="262" spans="1:160" s="15429" customFormat="1" ht="23.25" customHeight="1">
      <c r="A262" s="10490"/>
      <c r="B262" s="10490"/>
      <c r="C262" s="10490"/>
      <c r="D262" s="10490"/>
      <c r="E262" s="16125" t="s">
        <v>102</v>
      </c>
      <c r="F262" s="16125"/>
      <c r="G262" s="16125"/>
      <c r="H262" s="16125"/>
      <c r="I262" s="16145"/>
      <c r="J262" s="16122" t="str">
        <f>I261&amp;".1"</f>
        <v>3.1.1.1.1</v>
      </c>
      <c r="K262" s="10490"/>
      <c r="L262" s="10491" t="s">
        <v>543</v>
      </c>
      <c r="M262" s="10508"/>
      <c r="N262" s="10508"/>
      <c r="O262" s="10508"/>
      <c r="P262" s="16123"/>
      <c r="Q262" s="16123">
        <v>1</v>
      </c>
      <c r="R262" s="10512"/>
      <c r="S262" s="10496" t="str">
        <f>$J262</f>
        <v>3.1.1.1.1</v>
      </c>
      <c r="T262" s="10513" t="s">
        <v>544</v>
      </c>
      <c r="U262" s="10498"/>
      <c r="V262" s="16113"/>
      <c r="W262" s="16114"/>
      <c r="X262" s="16114"/>
      <c r="Y262" s="16114"/>
      <c r="Z262" s="16114"/>
      <c r="AA262" s="16114"/>
      <c r="AB262" s="16114"/>
      <c r="AC262" s="16114"/>
      <c r="AD262" s="16114"/>
      <c r="AE262" s="16114"/>
      <c r="AF262" s="16115"/>
      <c r="AG262" s="16113" t="s">
        <v>679</v>
      </c>
      <c r="AH262" s="16114"/>
      <c r="AI262" s="16114"/>
      <c r="AJ262" s="16114"/>
      <c r="AK262" s="16114"/>
      <c r="AL262" s="16114"/>
      <c r="AM262" s="16114"/>
      <c r="AN262" s="16114"/>
      <c r="AO262" s="16114"/>
      <c r="AP262" s="16114"/>
      <c r="AQ262" s="16114"/>
      <c r="AR262" s="16113"/>
      <c r="AS262" s="16114"/>
      <c r="AT262" s="16114"/>
      <c r="AU262" s="16114"/>
      <c r="AV262" s="16114"/>
      <c r="AW262" s="16114"/>
      <c r="AX262" s="16114"/>
      <c r="AY262" s="16114"/>
      <c r="AZ262" s="16114"/>
      <c r="BA262" s="16114"/>
      <c r="BB262" s="16115"/>
      <c r="BC262" s="16113"/>
      <c r="BD262" s="16114"/>
      <c r="BE262" s="16114"/>
      <c r="BF262" s="16114"/>
      <c r="BG262" s="16114"/>
      <c r="BH262" s="16114"/>
      <c r="BI262" s="16114"/>
      <c r="BJ262" s="16114"/>
      <c r="BK262" s="16114"/>
      <c r="BL262" s="16114"/>
      <c r="BM262" s="16115"/>
      <c r="BN262" s="16113"/>
      <c r="BO262" s="16114"/>
      <c r="BP262" s="16114"/>
      <c r="BQ262" s="16114"/>
      <c r="BR262" s="16114"/>
      <c r="BS262" s="16114"/>
      <c r="BT262" s="16114"/>
      <c r="BU262" s="16114"/>
      <c r="BV262" s="16114"/>
      <c r="BW262" s="16114"/>
      <c r="BX262" s="16115"/>
      <c r="BY262" s="16113"/>
      <c r="BZ262" s="16114"/>
      <c r="CA262" s="16114"/>
      <c r="CB262" s="16114"/>
      <c r="CC262" s="16114"/>
      <c r="CD262" s="16114"/>
      <c r="CE262" s="16114"/>
      <c r="CF262" s="16114"/>
      <c r="CG262" s="16114"/>
      <c r="CH262" s="16114"/>
      <c r="CI262" s="16115"/>
      <c r="CJ262" s="16113"/>
      <c r="CK262" s="16114"/>
      <c r="CL262" s="16114"/>
      <c r="CM262" s="16114"/>
      <c r="CN262" s="16114"/>
      <c r="CO262" s="16114"/>
      <c r="CP262" s="16114"/>
      <c r="CQ262" s="16114"/>
      <c r="CR262" s="16114"/>
      <c r="CS262" s="16114"/>
      <c r="CT262" s="16115"/>
      <c r="CU262" s="16113"/>
      <c r="CV262" s="16114"/>
      <c r="CW262" s="16114"/>
      <c r="CX262" s="16114"/>
      <c r="CY262" s="16114"/>
      <c r="CZ262" s="16114"/>
      <c r="DA262" s="16114"/>
      <c r="DB262" s="16114"/>
      <c r="DC262" s="16114"/>
      <c r="DD262" s="16114"/>
      <c r="DE262" s="16115"/>
      <c r="DF262" s="16113"/>
      <c r="DG262" s="16114"/>
      <c r="DH262" s="16114"/>
      <c r="DI262" s="16114"/>
      <c r="DJ262" s="16114"/>
      <c r="DK262" s="16114"/>
      <c r="DL262" s="16114"/>
      <c r="DM262" s="16114"/>
      <c r="DN262" s="16114"/>
      <c r="DO262" s="16114"/>
      <c r="DP262" s="16115"/>
      <c r="DQ262" s="16113"/>
      <c r="DR262" s="16114"/>
      <c r="DS262" s="16114"/>
      <c r="DT262" s="16114"/>
      <c r="DU262" s="16114"/>
      <c r="DV262" s="16114"/>
      <c r="DW262" s="16114"/>
      <c r="DX262" s="16114"/>
      <c r="DY262" s="16114"/>
      <c r="DZ262" s="16114"/>
      <c r="EA262" s="16115"/>
      <c r="EB262" s="16113"/>
      <c r="EC262" s="16114"/>
      <c r="ED262" s="16114"/>
      <c r="EE262" s="16114"/>
      <c r="EF262" s="16114"/>
      <c r="EG262" s="16114"/>
      <c r="EH262" s="16114"/>
      <c r="EI262" s="16114"/>
      <c r="EJ262" s="16114"/>
      <c r="EK262" s="16114"/>
      <c r="EL262" s="16201"/>
      <c r="EM262" s="16113"/>
      <c r="EN262" s="16114"/>
      <c r="EO262" s="16114"/>
      <c r="EP262" s="16114"/>
      <c r="EQ262" s="16114"/>
      <c r="ER262" s="16114"/>
      <c r="ES262" s="16114"/>
      <c r="ET262" s="16114"/>
      <c r="EU262" s="16114"/>
      <c r="EV262" s="16114"/>
      <c r="EW262" s="16115"/>
      <c r="EX262" s="16115"/>
      <c r="EY262" s="10514" t="s">
        <v>620</v>
      </c>
      <c r="EZ262" s="10500"/>
      <c r="FA262" s="10501"/>
      <c r="FB262" s="10501" t="str">
        <f t="shared" si="4"/>
        <v>Группа потребителей</v>
      </c>
      <c r="FC262" s="10501"/>
      <c r="FD262" s="10501"/>
    </row>
    <row r="263" spans="1:160" s="15430" customFormat="1" ht="23.25" customHeight="1">
      <c r="A263" s="10490"/>
      <c r="B263" s="10490"/>
      <c r="C263" s="10490"/>
      <c r="D263" s="10490"/>
      <c r="E263" s="16125" t="s">
        <v>102</v>
      </c>
      <c r="F263" s="16125"/>
      <c r="G263" s="16125"/>
      <c r="H263" s="16125"/>
      <c r="I263" s="16145"/>
      <c r="J263" s="16145"/>
      <c r="K263" s="16122" t="str">
        <f>J262&amp;".1"</f>
        <v>3.1.1.1.1.1</v>
      </c>
      <c r="L263" s="10491"/>
      <c r="M263" s="10508"/>
      <c r="N263" s="10508"/>
      <c r="O263" s="10508"/>
      <c r="P263" s="16123"/>
      <c r="Q263" s="16123"/>
      <c r="R263" s="10512">
        <v>1</v>
      </c>
      <c r="S263" s="10496" t="str">
        <f>$K263</f>
        <v>3.1.1.1.1.1</v>
      </c>
      <c r="T263" s="10515"/>
      <c r="U263" s="10498"/>
      <c r="V263" s="10516"/>
      <c r="W263" s="10516"/>
      <c r="X263" s="10516"/>
      <c r="Y263" s="10516"/>
      <c r="Z263" s="10516"/>
      <c r="AA263" s="10516"/>
      <c r="AB263" s="10516"/>
      <c r="AC263" s="16127"/>
      <c r="AD263" s="15973" t="s">
        <v>66</v>
      </c>
      <c r="AE263" s="16127"/>
      <c r="AF263" s="15973" t="s">
        <v>66</v>
      </c>
      <c r="AG263" s="10516">
        <v>26.75</v>
      </c>
      <c r="AH263" s="10516"/>
      <c r="AI263" s="10516"/>
      <c r="AJ263" s="10516"/>
      <c r="AK263" s="10516">
        <v>3897.94</v>
      </c>
      <c r="AL263" s="10516"/>
      <c r="AM263" s="10516"/>
      <c r="AN263" s="16127">
        <v>45292</v>
      </c>
      <c r="AO263" s="15973" t="s">
        <v>66</v>
      </c>
      <c r="AP263" s="16146">
        <v>45378</v>
      </c>
      <c r="AQ263" s="15973" t="s">
        <v>66</v>
      </c>
      <c r="AR263" s="10516">
        <v>26.75</v>
      </c>
      <c r="AS263" s="10516"/>
      <c r="AT263" s="10516"/>
      <c r="AU263" s="10516"/>
      <c r="AV263" s="10516">
        <v>3897.94</v>
      </c>
      <c r="AW263" s="10516"/>
      <c r="AX263" s="10516"/>
      <c r="AY263" s="16127">
        <v>45379</v>
      </c>
      <c r="AZ263" s="15973" t="s">
        <v>66</v>
      </c>
      <c r="BA263" s="16127">
        <v>45473</v>
      </c>
      <c r="BB263" s="15973" t="s">
        <v>66</v>
      </c>
      <c r="BC263" s="10516">
        <v>33</v>
      </c>
      <c r="BD263" s="10516"/>
      <c r="BE263" s="10516"/>
      <c r="BF263" s="10516"/>
      <c r="BG263" s="10516">
        <v>4377.3900000000003</v>
      </c>
      <c r="BH263" s="10516"/>
      <c r="BI263" s="10516"/>
      <c r="BJ263" s="16127">
        <v>45474</v>
      </c>
      <c r="BK263" s="15973" t="s">
        <v>66</v>
      </c>
      <c r="BL263" s="16127">
        <v>45657</v>
      </c>
      <c r="BM263" s="15973" t="s">
        <v>66</v>
      </c>
      <c r="BN263" s="10516">
        <v>28.77</v>
      </c>
      <c r="BO263" s="10516"/>
      <c r="BP263" s="10516"/>
      <c r="BQ263" s="10516"/>
      <c r="BR263" s="10516">
        <v>4377.3900000000003</v>
      </c>
      <c r="BS263" s="10516"/>
      <c r="BT263" s="10516"/>
      <c r="BU263" s="16127">
        <v>45658</v>
      </c>
      <c r="BV263" s="15973" t="s">
        <v>66</v>
      </c>
      <c r="BW263" s="16127">
        <v>45838</v>
      </c>
      <c r="BX263" s="15973" t="s">
        <v>66</v>
      </c>
      <c r="BY263" s="10516">
        <v>28.77</v>
      </c>
      <c r="BZ263" s="10516"/>
      <c r="CA263" s="10516"/>
      <c r="CB263" s="10516"/>
      <c r="CC263" s="10516">
        <v>4561.24</v>
      </c>
      <c r="CD263" s="10516"/>
      <c r="CE263" s="10516"/>
      <c r="CF263" s="16127">
        <v>45839</v>
      </c>
      <c r="CG263" s="15973" t="s">
        <v>66</v>
      </c>
      <c r="CH263" s="16127">
        <v>46022</v>
      </c>
      <c r="CI263" s="15973" t="s">
        <v>66</v>
      </c>
      <c r="CJ263" s="10516">
        <v>28.77</v>
      </c>
      <c r="CK263" s="10516"/>
      <c r="CL263" s="10516"/>
      <c r="CM263" s="10516"/>
      <c r="CN263" s="10516">
        <v>4561.24</v>
      </c>
      <c r="CO263" s="10516"/>
      <c r="CP263" s="10516"/>
      <c r="CQ263" s="16127">
        <v>46023</v>
      </c>
      <c r="CR263" s="15973" t="s">
        <v>66</v>
      </c>
      <c r="CS263" s="16127">
        <v>46203</v>
      </c>
      <c r="CT263" s="15973" t="s">
        <v>66</v>
      </c>
      <c r="CU263" s="10516">
        <v>30.54</v>
      </c>
      <c r="CV263" s="10516"/>
      <c r="CW263" s="10516"/>
      <c r="CX263" s="10516"/>
      <c r="CY263" s="10516">
        <v>4743.6899999999996</v>
      </c>
      <c r="CZ263" s="10516"/>
      <c r="DA263" s="10516"/>
      <c r="DB263" s="16127">
        <v>46204</v>
      </c>
      <c r="DC263" s="15973" t="s">
        <v>66</v>
      </c>
      <c r="DD263" s="16127">
        <v>46387</v>
      </c>
      <c r="DE263" s="15973" t="s">
        <v>66</v>
      </c>
      <c r="DF263" s="10516">
        <v>30.54</v>
      </c>
      <c r="DG263" s="10516"/>
      <c r="DH263" s="10516"/>
      <c r="DI263" s="10516"/>
      <c r="DJ263" s="10516">
        <v>4743.6899999999996</v>
      </c>
      <c r="DK263" s="10516"/>
      <c r="DL263" s="10516"/>
      <c r="DM263" s="16127">
        <v>46388</v>
      </c>
      <c r="DN263" s="15973" t="s">
        <v>66</v>
      </c>
      <c r="DO263" s="16127">
        <v>46568</v>
      </c>
      <c r="DP263" s="15973" t="s">
        <v>66</v>
      </c>
      <c r="DQ263" s="10516">
        <v>30.6</v>
      </c>
      <c r="DR263" s="10516"/>
      <c r="DS263" s="10516"/>
      <c r="DT263" s="10516"/>
      <c r="DU263" s="10516">
        <v>4933.4399999999996</v>
      </c>
      <c r="DV263" s="10516"/>
      <c r="DW263" s="10516"/>
      <c r="DX263" s="16127">
        <v>46569</v>
      </c>
      <c r="DY263" s="15973" t="s">
        <v>66</v>
      </c>
      <c r="DZ263" s="16127">
        <v>46752</v>
      </c>
      <c r="EA263" s="15973" t="s">
        <v>66</v>
      </c>
      <c r="EB263" s="10516">
        <v>30.6</v>
      </c>
      <c r="EC263" s="10516"/>
      <c r="ED263" s="10516"/>
      <c r="EE263" s="10516"/>
      <c r="EF263" s="10516">
        <v>4933.4399999999996</v>
      </c>
      <c r="EG263" s="10516"/>
      <c r="EH263" s="10516"/>
      <c r="EI263" s="16127">
        <v>46753</v>
      </c>
      <c r="EJ263" s="15973" t="s">
        <v>66</v>
      </c>
      <c r="EK263" s="16127">
        <v>46934</v>
      </c>
      <c r="EL263" s="16202" t="s">
        <v>66</v>
      </c>
      <c r="EM263" s="14448">
        <v>31.82</v>
      </c>
      <c r="EN263" s="14448"/>
      <c r="EO263" s="14448"/>
      <c r="EP263" s="14448"/>
      <c r="EQ263" s="14448">
        <v>5130.78</v>
      </c>
      <c r="ER263" s="14448"/>
      <c r="ES263" s="14448"/>
      <c r="ET263" s="16127">
        <v>46935</v>
      </c>
      <c r="EU263" s="15973" t="s">
        <v>66</v>
      </c>
      <c r="EV263" s="16127">
        <v>47118</v>
      </c>
      <c r="EW263" s="15973" t="s">
        <v>66</v>
      </c>
      <c r="EX263" s="10517"/>
      <c r="EY263"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63" s="10500" t="e">
        <f ca="1">STRCHECKDATE(V264:EX264)</f>
        <v>#NAME?</v>
      </c>
      <c r="FA263" s="10501"/>
      <c r="FB263" s="10501" t="str">
        <f t="shared" si="4"/>
        <v/>
      </c>
      <c r="FC263" s="10501"/>
      <c r="FD263" s="10501"/>
    </row>
    <row r="264" spans="1:160" s="15431" customFormat="1" ht="14.25" customHeight="1">
      <c r="A264" s="10490"/>
      <c r="B264" s="10490"/>
      <c r="C264" s="10490"/>
      <c r="D264" s="10490"/>
      <c r="E264" s="16125" t="s">
        <v>102</v>
      </c>
      <c r="F264" s="16125"/>
      <c r="G264" s="16125"/>
      <c r="H264" s="16125"/>
      <c r="I264" s="16145"/>
      <c r="J264" s="16145"/>
      <c r="K264" s="16122"/>
      <c r="L264" s="10491"/>
      <c r="M264" s="10508"/>
      <c r="N264" s="10508"/>
      <c r="O264" s="10508"/>
      <c r="P264" s="16123"/>
      <c r="Q264" s="16123"/>
      <c r="R264" s="10512"/>
      <c r="S264" s="10518"/>
      <c r="T264" s="10498"/>
      <c r="U264" s="10498"/>
      <c r="V264" s="10519"/>
      <c r="W264" s="10519"/>
      <c r="X264" s="10519"/>
      <c r="Y264" s="10519"/>
      <c r="Z264" s="10519"/>
      <c r="AA264" s="10519"/>
      <c r="AB264" s="10519"/>
      <c r="AC264" s="16128"/>
      <c r="AD264" s="15973"/>
      <c r="AE264" s="16128"/>
      <c r="AF264" s="15973"/>
      <c r="AG264" s="10519"/>
      <c r="AH264" s="10519"/>
      <c r="AI264" s="10519"/>
      <c r="AJ264" s="10519"/>
      <c r="AK264" s="10519"/>
      <c r="AL264" s="10519"/>
      <c r="AM264" s="10519"/>
      <c r="AN264" s="16128"/>
      <c r="AO264" s="15973"/>
      <c r="AP264" s="16147"/>
      <c r="AQ264" s="15973"/>
      <c r="AR264" s="10519"/>
      <c r="AS264" s="10519"/>
      <c r="AT264" s="10519"/>
      <c r="AU264" s="10519"/>
      <c r="AV264" s="10519"/>
      <c r="AW264" s="10519"/>
      <c r="AX264" s="10519"/>
      <c r="AY264" s="16128"/>
      <c r="AZ264" s="15973"/>
      <c r="BA264" s="16128"/>
      <c r="BB264" s="15973"/>
      <c r="BC264" s="10519"/>
      <c r="BD264" s="10519"/>
      <c r="BE264" s="10519"/>
      <c r="BF264" s="10519"/>
      <c r="BG264" s="10519"/>
      <c r="BH264" s="10519"/>
      <c r="BI264" s="10519"/>
      <c r="BJ264" s="16128"/>
      <c r="BK264" s="15973"/>
      <c r="BL264" s="16128"/>
      <c r="BM264" s="15973"/>
      <c r="BN264" s="10519"/>
      <c r="BO264" s="10519"/>
      <c r="BP264" s="10519"/>
      <c r="BQ264" s="10519"/>
      <c r="BR264" s="10519"/>
      <c r="BS264" s="10519"/>
      <c r="BT264" s="10519"/>
      <c r="BU264" s="16128"/>
      <c r="BV264" s="15973"/>
      <c r="BW264" s="16128"/>
      <c r="BX264" s="15973"/>
      <c r="BY264" s="10519"/>
      <c r="BZ264" s="10519"/>
      <c r="CA264" s="10519"/>
      <c r="CB264" s="10519"/>
      <c r="CC264" s="10519"/>
      <c r="CD264" s="10519"/>
      <c r="CE264" s="10519"/>
      <c r="CF264" s="16128"/>
      <c r="CG264" s="15973"/>
      <c r="CH264" s="16128"/>
      <c r="CI264" s="15973"/>
      <c r="CJ264" s="10519"/>
      <c r="CK264" s="10519"/>
      <c r="CL264" s="10519"/>
      <c r="CM264" s="10519"/>
      <c r="CN264" s="10519"/>
      <c r="CO264" s="10519"/>
      <c r="CP264" s="10519"/>
      <c r="CQ264" s="16128"/>
      <c r="CR264" s="15973"/>
      <c r="CS264" s="16128"/>
      <c r="CT264" s="15973"/>
      <c r="CU264" s="10519"/>
      <c r="CV264" s="10519"/>
      <c r="CW264" s="10519"/>
      <c r="CX264" s="10519"/>
      <c r="CY264" s="10519"/>
      <c r="CZ264" s="10519"/>
      <c r="DA264" s="10519"/>
      <c r="DB264" s="16128"/>
      <c r="DC264" s="15973"/>
      <c r="DD264" s="16128"/>
      <c r="DE264" s="15973"/>
      <c r="DF264" s="10519"/>
      <c r="DG264" s="10519"/>
      <c r="DH264" s="10519"/>
      <c r="DI264" s="10519"/>
      <c r="DJ264" s="10519"/>
      <c r="DK264" s="10519"/>
      <c r="DL264" s="10519"/>
      <c r="DM264" s="16128"/>
      <c r="DN264" s="15973"/>
      <c r="DO264" s="16128"/>
      <c r="DP264" s="15973"/>
      <c r="DQ264" s="10519"/>
      <c r="DR264" s="10519"/>
      <c r="DS264" s="10519"/>
      <c r="DT264" s="10519"/>
      <c r="DU264" s="10519"/>
      <c r="DV264" s="10519"/>
      <c r="DW264" s="10519"/>
      <c r="DX264" s="16128"/>
      <c r="DY264" s="15973"/>
      <c r="DZ264" s="16128"/>
      <c r="EA264" s="15973"/>
      <c r="EB264" s="10519"/>
      <c r="EC264" s="10519"/>
      <c r="ED264" s="10519"/>
      <c r="EE264" s="10519"/>
      <c r="EF264" s="10519"/>
      <c r="EG264" s="10519"/>
      <c r="EH264" s="10519"/>
      <c r="EI264" s="16128"/>
      <c r="EJ264" s="15973"/>
      <c r="EK264" s="16128"/>
      <c r="EL264" s="16202"/>
      <c r="EM264" s="14449"/>
      <c r="EN264" s="14449"/>
      <c r="EO264" s="14449"/>
      <c r="EP264" s="14449"/>
      <c r="EQ264" s="14449"/>
      <c r="ER264" s="14449"/>
      <c r="ES264" s="14449"/>
      <c r="ET264" s="16128"/>
      <c r="EU264" s="15973"/>
      <c r="EV264" s="16128"/>
      <c r="EW264" s="15973"/>
      <c r="EX264" s="10520"/>
      <c r="EY264" s="16182"/>
      <c r="EZ264" s="10500"/>
      <c r="FA264" s="10501"/>
      <c r="FB264" s="10501" t="str">
        <f t="shared" si="4"/>
        <v/>
      </c>
      <c r="FC264" s="10501"/>
      <c r="FD264" s="10501"/>
    </row>
    <row r="265" spans="1:160" s="15432" customFormat="1" ht="21" customHeight="1">
      <c r="A265" s="10490"/>
      <c r="B265" s="10490"/>
      <c r="C265" s="10490"/>
      <c r="D265" s="10490"/>
      <c r="E265" s="16125" t="s">
        <v>102</v>
      </c>
      <c r="F265" s="16125"/>
      <c r="G265" s="16125"/>
      <c r="H265" s="16125"/>
      <c r="I265" s="16145"/>
      <c r="J265" s="16122"/>
      <c r="K265" s="10490"/>
      <c r="L265" s="10491"/>
      <c r="M265" s="10508"/>
      <c r="N265" s="10508"/>
      <c r="O265" s="10508"/>
      <c r="P265" s="16123"/>
      <c r="Q265" s="16123"/>
      <c r="R265" s="10510"/>
      <c r="S265" s="10521"/>
      <c r="T265" s="10522" t="s">
        <v>621</v>
      </c>
      <c r="U265" s="10523"/>
      <c r="V265" s="10524"/>
      <c r="W265" s="10525"/>
      <c r="X265" s="10526"/>
      <c r="Y265" s="10527"/>
      <c r="Z265" s="10528"/>
      <c r="AA265" s="10529"/>
      <c r="AB265" s="10530"/>
      <c r="AC265" s="10531"/>
      <c r="AD265" s="10532"/>
      <c r="AE265" s="10533"/>
      <c r="AF265" s="10534"/>
      <c r="AG265" s="10535"/>
      <c r="AH265" s="10536"/>
      <c r="AI265" s="10537"/>
      <c r="AJ265" s="10538"/>
      <c r="AK265" s="10539"/>
      <c r="AL265" s="10540"/>
      <c r="AM265" s="10541"/>
      <c r="AN265" s="10542"/>
      <c r="AO265" s="10543"/>
      <c r="AP265" s="10544"/>
      <c r="AQ265" s="10545"/>
      <c r="AR265" s="10546"/>
      <c r="AS265" s="10547"/>
      <c r="AT265" s="10548"/>
      <c r="AU265" s="10549"/>
      <c r="AV265" s="10550"/>
      <c r="AW265" s="10551"/>
      <c r="AX265" s="10552"/>
      <c r="AY265" s="10553"/>
      <c r="AZ265" s="10554"/>
      <c r="BA265" s="10555"/>
      <c r="BB265" s="10556"/>
      <c r="BC265" s="10557"/>
      <c r="BD265" s="10558"/>
      <c r="BE265" s="10559"/>
      <c r="BF265" s="10560"/>
      <c r="BG265" s="10561"/>
      <c r="BH265" s="10562"/>
      <c r="BI265" s="10563"/>
      <c r="BJ265" s="10564"/>
      <c r="BK265" s="10565"/>
      <c r="BL265" s="10566"/>
      <c r="BM265" s="10567"/>
      <c r="BN265" s="10568"/>
      <c r="BO265" s="10569"/>
      <c r="BP265" s="10570"/>
      <c r="BQ265" s="10571"/>
      <c r="BR265" s="10572"/>
      <c r="BS265" s="10573"/>
      <c r="BT265" s="10574"/>
      <c r="BU265" s="10575"/>
      <c r="BV265" s="10576"/>
      <c r="BW265" s="10577"/>
      <c r="BX265" s="10578"/>
      <c r="BY265" s="10579"/>
      <c r="BZ265" s="10580"/>
      <c r="CA265" s="10581"/>
      <c r="CB265" s="10582"/>
      <c r="CC265" s="10583"/>
      <c r="CD265" s="10584"/>
      <c r="CE265" s="10585"/>
      <c r="CF265" s="10586"/>
      <c r="CG265" s="10587"/>
      <c r="CH265" s="10588"/>
      <c r="CI265" s="10589"/>
      <c r="CJ265" s="10590"/>
      <c r="CK265" s="10591"/>
      <c r="CL265" s="10592"/>
      <c r="CM265" s="10593"/>
      <c r="CN265" s="10594"/>
      <c r="CO265" s="10595"/>
      <c r="CP265" s="10596"/>
      <c r="CQ265" s="10597"/>
      <c r="CR265" s="10598"/>
      <c r="CS265" s="10599"/>
      <c r="CT265" s="10600"/>
      <c r="CU265" s="10601"/>
      <c r="CV265" s="10602"/>
      <c r="CW265" s="10603"/>
      <c r="CX265" s="10604"/>
      <c r="CY265" s="10605"/>
      <c r="CZ265" s="10606"/>
      <c r="DA265" s="10607"/>
      <c r="DB265" s="10608"/>
      <c r="DC265" s="10609"/>
      <c r="DD265" s="10610"/>
      <c r="DE265" s="10611"/>
      <c r="DF265" s="10612"/>
      <c r="DG265" s="10613"/>
      <c r="DH265" s="10614"/>
      <c r="DI265" s="10615"/>
      <c r="DJ265" s="10616"/>
      <c r="DK265" s="10617"/>
      <c r="DL265" s="10618"/>
      <c r="DM265" s="10619"/>
      <c r="DN265" s="10620"/>
      <c r="DO265" s="10621"/>
      <c r="DP265" s="10622"/>
      <c r="DQ265" s="10623"/>
      <c r="DR265" s="10624"/>
      <c r="DS265" s="10625"/>
      <c r="DT265" s="10626"/>
      <c r="DU265" s="10627"/>
      <c r="DV265" s="10628"/>
      <c r="DW265" s="10629"/>
      <c r="DX265" s="10630"/>
      <c r="DY265" s="10631"/>
      <c r="DZ265" s="10632"/>
      <c r="EA265" s="10633"/>
      <c r="EB265" s="10634"/>
      <c r="EC265" s="10635"/>
      <c r="ED265" s="10636"/>
      <c r="EE265" s="10637"/>
      <c r="EF265" s="10638"/>
      <c r="EG265" s="10639"/>
      <c r="EH265" s="10640"/>
      <c r="EI265" s="10641"/>
      <c r="EJ265" s="10642"/>
      <c r="EK265" s="10643"/>
      <c r="EL265" s="10644"/>
      <c r="EM265" s="15433"/>
      <c r="EN265" s="15434"/>
      <c r="EO265" s="15435"/>
      <c r="EP265" s="15436"/>
      <c r="EQ265" s="15437"/>
      <c r="ER265" s="15438"/>
      <c r="ES265" s="15439"/>
      <c r="ET265" s="15440"/>
      <c r="EU265" s="15441"/>
      <c r="EV265" s="15442"/>
      <c r="EW265" s="15443"/>
      <c r="EX265" s="10645"/>
      <c r="EY265" s="10499" t="s">
        <v>622</v>
      </c>
      <c r="EZ265" s="10500"/>
      <c r="FA265" s="10501"/>
      <c r="FB265" s="10501" t="str">
        <f t="shared" si="4"/>
        <v>Добавить значение признака дифференциации</v>
      </c>
      <c r="FC265" s="10501"/>
      <c r="FD265" s="10501"/>
    </row>
    <row r="266" spans="1:160" s="15444" customFormat="1" ht="21" customHeight="1">
      <c r="A266" s="10490"/>
      <c r="B266" s="10490"/>
      <c r="C266" s="10490"/>
      <c r="D266" s="10490"/>
      <c r="E266" s="16125" t="s">
        <v>102</v>
      </c>
      <c r="F266" s="16125"/>
      <c r="G266" s="16125"/>
      <c r="H266" s="16125"/>
      <c r="I266" s="16122"/>
      <c r="J266" s="10490"/>
      <c r="K266" s="10490"/>
      <c r="L266" s="10491"/>
      <c r="M266" s="10508"/>
      <c r="N266" s="10508"/>
      <c r="O266" s="10508"/>
      <c r="P266" s="16123"/>
      <c r="Q266" s="10509"/>
      <c r="R266" s="10510"/>
      <c r="S266" s="10646"/>
      <c r="T266" s="10647" t="s">
        <v>549</v>
      </c>
      <c r="U266" s="10648"/>
      <c r="V266" s="10649"/>
      <c r="W266" s="10650"/>
      <c r="X266" s="10651"/>
      <c r="Y266" s="10652"/>
      <c r="Z266" s="10653"/>
      <c r="AA266" s="10654"/>
      <c r="AB266" s="10655"/>
      <c r="AC266" s="10656"/>
      <c r="AD266" s="10657"/>
      <c r="AE266" s="10658"/>
      <c r="AF266" s="10659"/>
      <c r="AG266" s="10660"/>
      <c r="AH266" s="10661"/>
      <c r="AI266" s="10662"/>
      <c r="AJ266" s="10663"/>
      <c r="AK266" s="10664"/>
      <c r="AL266" s="10665"/>
      <c r="AM266" s="10666"/>
      <c r="AN266" s="10667"/>
      <c r="AO266" s="10668"/>
      <c r="AP266" s="10669"/>
      <c r="AQ266" s="10670"/>
      <c r="AR266" s="10671"/>
      <c r="AS266" s="10672"/>
      <c r="AT266" s="10673"/>
      <c r="AU266" s="10674"/>
      <c r="AV266" s="10675"/>
      <c r="AW266" s="10676"/>
      <c r="AX266" s="10677"/>
      <c r="AY266" s="10678"/>
      <c r="AZ266" s="10679"/>
      <c r="BA266" s="10680"/>
      <c r="BB266" s="10681"/>
      <c r="BC266" s="10682"/>
      <c r="BD266" s="10683"/>
      <c r="BE266" s="10684"/>
      <c r="BF266" s="10685"/>
      <c r="BG266" s="10686"/>
      <c r="BH266" s="10687"/>
      <c r="BI266" s="10688"/>
      <c r="BJ266" s="10689"/>
      <c r="BK266" s="10690"/>
      <c r="BL266" s="10691"/>
      <c r="BM266" s="10692"/>
      <c r="BN266" s="10693"/>
      <c r="BO266" s="10694"/>
      <c r="BP266" s="10695"/>
      <c r="BQ266" s="10696"/>
      <c r="BR266" s="10697"/>
      <c r="BS266" s="10698"/>
      <c r="BT266" s="10699"/>
      <c r="BU266" s="10700"/>
      <c r="BV266" s="10701"/>
      <c r="BW266" s="10702"/>
      <c r="BX266" s="10703"/>
      <c r="BY266" s="10704"/>
      <c r="BZ266" s="10705"/>
      <c r="CA266" s="10706"/>
      <c r="CB266" s="10707"/>
      <c r="CC266" s="10708"/>
      <c r="CD266" s="10709"/>
      <c r="CE266" s="10710"/>
      <c r="CF266" s="10711"/>
      <c r="CG266" s="10712"/>
      <c r="CH266" s="10713"/>
      <c r="CI266" s="10714"/>
      <c r="CJ266" s="10715"/>
      <c r="CK266" s="10716"/>
      <c r="CL266" s="10717"/>
      <c r="CM266" s="10718"/>
      <c r="CN266" s="10719"/>
      <c r="CO266" s="10720"/>
      <c r="CP266" s="10721"/>
      <c r="CQ266" s="10722"/>
      <c r="CR266" s="10723"/>
      <c r="CS266" s="10724"/>
      <c r="CT266" s="10725"/>
      <c r="CU266" s="10726"/>
      <c r="CV266" s="10727"/>
      <c r="CW266" s="10728"/>
      <c r="CX266" s="10729"/>
      <c r="CY266" s="10730"/>
      <c r="CZ266" s="10731"/>
      <c r="DA266" s="10732"/>
      <c r="DB266" s="10733"/>
      <c r="DC266" s="10734"/>
      <c r="DD266" s="10735"/>
      <c r="DE266" s="10736"/>
      <c r="DF266" s="10737"/>
      <c r="DG266" s="10738"/>
      <c r="DH266" s="10739"/>
      <c r="DI266" s="10740"/>
      <c r="DJ266" s="10741"/>
      <c r="DK266" s="10742"/>
      <c r="DL266" s="10743"/>
      <c r="DM266" s="10744"/>
      <c r="DN266" s="10745"/>
      <c r="DO266" s="10746"/>
      <c r="DP266" s="10747"/>
      <c r="DQ266" s="10748"/>
      <c r="DR266" s="10749"/>
      <c r="DS266" s="10750"/>
      <c r="DT266" s="10751"/>
      <c r="DU266" s="10752"/>
      <c r="DV266" s="10753"/>
      <c r="DW266" s="10754"/>
      <c r="DX266" s="10755"/>
      <c r="DY266" s="10756"/>
      <c r="DZ266" s="10757"/>
      <c r="EA266" s="10758"/>
      <c r="EB266" s="10759"/>
      <c r="EC266" s="10760"/>
      <c r="ED266" s="10761"/>
      <c r="EE266" s="10762"/>
      <c r="EF266" s="10763"/>
      <c r="EG266" s="10764"/>
      <c r="EH266" s="10765"/>
      <c r="EI266" s="10766"/>
      <c r="EJ266" s="10767"/>
      <c r="EK266" s="10768"/>
      <c r="EL266" s="10769"/>
      <c r="EM266" s="15445"/>
      <c r="EN266" s="15446"/>
      <c r="EO266" s="15447"/>
      <c r="EP266" s="15448"/>
      <c r="EQ266" s="15449"/>
      <c r="ER266" s="15450"/>
      <c r="ES266" s="15451"/>
      <c r="ET266" s="15452"/>
      <c r="EU266" s="15453"/>
      <c r="EV266" s="15454"/>
      <c r="EW266" s="15455"/>
      <c r="EX266" s="10770"/>
      <c r="EY266" s="10771"/>
      <c r="EZ266" s="10500"/>
      <c r="FA266" s="10501"/>
      <c r="FB266" s="10501" t="str">
        <f t="shared" si="4"/>
        <v>Добавить группу потребителей</v>
      </c>
      <c r="FC266" s="10501"/>
      <c r="FD266" s="10501"/>
    </row>
    <row r="267" spans="1:160" s="15456" customFormat="1" ht="21" customHeight="1">
      <c r="A267" s="10490"/>
      <c r="B267" s="10490"/>
      <c r="C267" s="10490"/>
      <c r="D267" s="10490"/>
      <c r="E267" s="16125" t="s">
        <v>102</v>
      </c>
      <c r="F267" s="16125"/>
      <c r="G267" s="16125"/>
      <c r="H267" s="16124"/>
      <c r="I267" s="10490"/>
      <c r="J267" s="10490"/>
      <c r="K267" s="10490"/>
      <c r="L267" s="10491"/>
      <c r="M267" s="10492"/>
      <c r="N267" s="10492"/>
      <c r="O267" s="10772"/>
      <c r="P267" s="10494"/>
      <c r="Q267" s="10773"/>
      <c r="R267" s="10495"/>
      <c r="S267" s="10774"/>
      <c r="T267" s="10775" t="s">
        <v>623</v>
      </c>
      <c r="U267" s="10776"/>
      <c r="V267" s="10777"/>
      <c r="W267" s="10778"/>
      <c r="X267" s="10779"/>
      <c r="Y267" s="10780"/>
      <c r="Z267" s="10781"/>
      <c r="AA267" s="10782"/>
      <c r="AB267" s="10783"/>
      <c r="AC267" s="10784"/>
      <c r="AD267" s="10785"/>
      <c r="AE267" s="10786"/>
      <c r="AF267" s="10787"/>
      <c r="AG267" s="10788"/>
      <c r="AH267" s="10789"/>
      <c r="AI267" s="10790"/>
      <c r="AJ267" s="10791"/>
      <c r="AK267" s="10792"/>
      <c r="AL267" s="10793"/>
      <c r="AM267" s="10794"/>
      <c r="AN267" s="10795"/>
      <c r="AO267" s="10796"/>
      <c r="AP267" s="10797"/>
      <c r="AQ267" s="10798"/>
      <c r="AR267" s="10799"/>
      <c r="AS267" s="10800"/>
      <c r="AT267" s="10801"/>
      <c r="AU267" s="10802"/>
      <c r="AV267" s="10803"/>
      <c r="AW267" s="10804"/>
      <c r="AX267" s="10805"/>
      <c r="AY267" s="10806"/>
      <c r="AZ267" s="10807"/>
      <c r="BA267" s="10808"/>
      <c r="BB267" s="10809"/>
      <c r="BC267" s="10810"/>
      <c r="BD267" s="10811"/>
      <c r="BE267" s="10812"/>
      <c r="BF267" s="10813"/>
      <c r="BG267" s="10814"/>
      <c r="BH267" s="10815"/>
      <c r="BI267" s="10816"/>
      <c r="BJ267" s="10817"/>
      <c r="BK267" s="10818"/>
      <c r="BL267" s="10819"/>
      <c r="BM267" s="10820"/>
      <c r="BN267" s="10821"/>
      <c r="BO267" s="10822"/>
      <c r="BP267" s="10823"/>
      <c r="BQ267" s="10824"/>
      <c r="BR267" s="10825"/>
      <c r="BS267" s="10826"/>
      <c r="BT267" s="10827"/>
      <c r="BU267" s="10828"/>
      <c r="BV267" s="10829"/>
      <c r="BW267" s="10830"/>
      <c r="BX267" s="10831"/>
      <c r="BY267" s="10832"/>
      <c r="BZ267" s="10833"/>
      <c r="CA267" s="10834"/>
      <c r="CB267" s="10835"/>
      <c r="CC267" s="10836"/>
      <c r="CD267" s="10837"/>
      <c r="CE267" s="10838"/>
      <c r="CF267" s="10839"/>
      <c r="CG267" s="10840"/>
      <c r="CH267" s="10841"/>
      <c r="CI267" s="10842"/>
      <c r="CJ267" s="10843"/>
      <c r="CK267" s="10844"/>
      <c r="CL267" s="10845"/>
      <c r="CM267" s="10846"/>
      <c r="CN267" s="10847"/>
      <c r="CO267" s="10848"/>
      <c r="CP267" s="10849"/>
      <c r="CQ267" s="10850"/>
      <c r="CR267" s="10851"/>
      <c r="CS267" s="10852"/>
      <c r="CT267" s="10853"/>
      <c r="CU267" s="10854"/>
      <c r="CV267" s="10855"/>
      <c r="CW267" s="10856"/>
      <c r="CX267" s="10857"/>
      <c r="CY267" s="10858"/>
      <c r="CZ267" s="10859"/>
      <c r="DA267" s="10860"/>
      <c r="DB267" s="10861"/>
      <c r="DC267" s="10862"/>
      <c r="DD267" s="10863"/>
      <c r="DE267" s="10864"/>
      <c r="DF267" s="10865"/>
      <c r="DG267" s="10866"/>
      <c r="DH267" s="10867"/>
      <c r="DI267" s="10868"/>
      <c r="DJ267" s="10869"/>
      <c r="DK267" s="10870"/>
      <c r="DL267" s="10871"/>
      <c r="DM267" s="10872"/>
      <c r="DN267" s="10873"/>
      <c r="DO267" s="10874"/>
      <c r="DP267" s="10875"/>
      <c r="DQ267" s="10876"/>
      <c r="DR267" s="10877"/>
      <c r="DS267" s="10878"/>
      <c r="DT267" s="10879"/>
      <c r="DU267" s="10880"/>
      <c r="DV267" s="10881"/>
      <c r="DW267" s="10882"/>
      <c r="DX267" s="10883"/>
      <c r="DY267" s="10884"/>
      <c r="DZ267" s="10885"/>
      <c r="EA267" s="10886"/>
      <c r="EB267" s="10887"/>
      <c r="EC267" s="10888"/>
      <c r="ED267" s="10889"/>
      <c r="EE267" s="10890"/>
      <c r="EF267" s="10891"/>
      <c r="EG267" s="10892"/>
      <c r="EH267" s="10893"/>
      <c r="EI267" s="10894"/>
      <c r="EJ267" s="10895"/>
      <c r="EK267" s="10896"/>
      <c r="EL267" s="10897"/>
      <c r="EM267" s="15457"/>
      <c r="EN267" s="15458"/>
      <c r="EO267" s="15459"/>
      <c r="EP267" s="15460"/>
      <c r="EQ267" s="15461"/>
      <c r="ER267" s="15462"/>
      <c r="ES267" s="15463"/>
      <c r="ET267" s="15464"/>
      <c r="EU267" s="15465"/>
      <c r="EV267" s="15466"/>
      <c r="EW267" s="15467"/>
      <c r="EX267" s="10898"/>
      <c r="EY267" s="10899"/>
      <c r="EZ267" s="10500"/>
      <c r="FA267" s="10501"/>
      <c r="FB267" s="10501" t="str">
        <f t="shared" si="4"/>
        <v>Добавить наименование признака дифференциации</v>
      </c>
      <c r="FC267" s="10501"/>
      <c r="FD267" s="10501"/>
    </row>
    <row r="268" spans="1:160" s="15468" customFormat="1" ht="23.25" customHeight="1">
      <c r="A268" s="10490"/>
      <c r="B268" s="10490"/>
      <c r="C268" s="10490" t="s">
        <v>364</v>
      </c>
      <c r="D268" s="10490"/>
      <c r="E268" s="16125"/>
      <c r="F268" s="16125"/>
      <c r="G268" s="16124" t="s">
        <v>102</v>
      </c>
      <c r="H268" s="10490"/>
      <c r="I268" s="10490"/>
      <c r="J268" s="10490"/>
      <c r="K268" s="10490"/>
      <c r="L268" s="10491"/>
      <c r="M268" s="10492"/>
      <c r="N268" s="10492"/>
      <c r="O268" s="10492"/>
      <c r="P268" s="10506"/>
      <c r="Q268" s="10503"/>
      <c r="R268" s="10504"/>
      <c r="S268" s="10496" t="str">
        <f>INDEX(PT_DIFFERENTIATION_NUM_CS,MATCH(C268,PT_DIFFERENTIATION_CS_ID,0))</f>
        <v>3.1.2</v>
      </c>
      <c r="T268" s="10507" t="s">
        <v>665</v>
      </c>
      <c r="U268" s="10498"/>
      <c r="V268" s="16110"/>
      <c r="W268" s="16111"/>
      <c r="X268" s="16111"/>
      <c r="Y268" s="16111"/>
      <c r="Z268" s="16111"/>
      <c r="AA268" s="16111"/>
      <c r="AB268" s="16111"/>
      <c r="AC268" s="16111"/>
      <c r="AD268" s="16111"/>
      <c r="AE268" s="16111"/>
      <c r="AF268" s="16112"/>
      <c r="AG268" s="16110" t="str">
        <f>INDEX(PT_DIFFERENTIATION_CS,MATCH(C268,PT_DIFFERENTIATION_CS_ID,0))</f>
        <v>городской округ город-герой Мурманск (потребители котельной ул. Фестивальная)</v>
      </c>
      <c r="AH268" s="16111"/>
      <c r="AI268" s="16111"/>
      <c r="AJ268" s="16111"/>
      <c r="AK268" s="16111"/>
      <c r="AL268" s="16111"/>
      <c r="AM268" s="16111"/>
      <c r="AN268" s="16111"/>
      <c r="AO268" s="16111"/>
      <c r="AP268" s="16111"/>
      <c r="AQ268" s="16111"/>
      <c r="AR268" s="16110"/>
      <c r="AS268" s="16111"/>
      <c r="AT268" s="16111"/>
      <c r="AU268" s="16111"/>
      <c r="AV268" s="16111"/>
      <c r="AW268" s="16111"/>
      <c r="AX268" s="16111"/>
      <c r="AY268" s="16111"/>
      <c r="AZ268" s="16111"/>
      <c r="BA268" s="16111"/>
      <c r="BB268" s="16112"/>
      <c r="BC268" s="16110"/>
      <c r="BD268" s="16111"/>
      <c r="BE268" s="16111"/>
      <c r="BF268" s="16111"/>
      <c r="BG268" s="16111"/>
      <c r="BH268" s="16111"/>
      <c r="BI268" s="16111"/>
      <c r="BJ268" s="16111"/>
      <c r="BK268" s="16111"/>
      <c r="BL268" s="16111"/>
      <c r="BM268" s="16112"/>
      <c r="BN268" s="16110"/>
      <c r="BO268" s="16111"/>
      <c r="BP268" s="16111"/>
      <c r="BQ268" s="16111"/>
      <c r="BR268" s="16111"/>
      <c r="BS268" s="16111"/>
      <c r="BT268" s="16111"/>
      <c r="BU268" s="16111"/>
      <c r="BV268" s="16111"/>
      <c r="BW268" s="16111"/>
      <c r="BX268" s="16112"/>
      <c r="BY268" s="16110"/>
      <c r="BZ268" s="16111"/>
      <c r="CA268" s="16111"/>
      <c r="CB268" s="16111"/>
      <c r="CC268" s="16111"/>
      <c r="CD268" s="16111"/>
      <c r="CE268" s="16111"/>
      <c r="CF268" s="16111"/>
      <c r="CG268" s="16111"/>
      <c r="CH268" s="16111"/>
      <c r="CI268" s="16112"/>
      <c r="CJ268" s="16110"/>
      <c r="CK268" s="16111"/>
      <c r="CL268" s="16111"/>
      <c r="CM268" s="16111"/>
      <c r="CN268" s="16111"/>
      <c r="CO268" s="16111"/>
      <c r="CP268" s="16111"/>
      <c r="CQ268" s="16111"/>
      <c r="CR268" s="16111"/>
      <c r="CS268" s="16111"/>
      <c r="CT268" s="16112"/>
      <c r="CU268" s="16110"/>
      <c r="CV268" s="16111"/>
      <c r="CW268" s="16111"/>
      <c r="CX268" s="16111"/>
      <c r="CY268" s="16111"/>
      <c r="CZ268" s="16111"/>
      <c r="DA268" s="16111"/>
      <c r="DB268" s="16111"/>
      <c r="DC268" s="16111"/>
      <c r="DD268" s="16111"/>
      <c r="DE268" s="16112"/>
      <c r="DF268" s="16110"/>
      <c r="DG268" s="16111"/>
      <c r="DH268" s="16111"/>
      <c r="DI268" s="16111"/>
      <c r="DJ268" s="16111"/>
      <c r="DK268" s="16111"/>
      <c r="DL268" s="16111"/>
      <c r="DM268" s="16111"/>
      <c r="DN268" s="16111"/>
      <c r="DO268" s="16111"/>
      <c r="DP268" s="16112"/>
      <c r="DQ268" s="16110"/>
      <c r="DR268" s="16111"/>
      <c r="DS268" s="16111"/>
      <c r="DT268" s="16111"/>
      <c r="DU268" s="16111"/>
      <c r="DV268" s="16111"/>
      <c r="DW268" s="16111"/>
      <c r="DX268" s="16111"/>
      <c r="DY268" s="16111"/>
      <c r="DZ268" s="16111"/>
      <c r="EA268" s="16112"/>
      <c r="EB268" s="16110"/>
      <c r="EC268" s="16111"/>
      <c r="ED268" s="16111"/>
      <c r="EE268" s="16111"/>
      <c r="EF268" s="16111"/>
      <c r="EG268" s="16111"/>
      <c r="EH268" s="16111"/>
      <c r="EI268" s="16111"/>
      <c r="EJ268" s="16111"/>
      <c r="EK268" s="16111"/>
      <c r="EL268" s="16199"/>
      <c r="EM268" s="16110"/>
      <c r="EN268" s="16111"/>
      <c r="EO268" s="16111"/>
      <c r="EP268" s="16111"/>
      <c r="EQ268" s="16111"/>
      <c r="ER268" s="16111"/>
      <c r="ES268" s="16111"/>
      <c r="ET268" s="16111"/>
      <c r="EU268" s="16111"/>
      <c r="EV268" s="16111"/>
      <c r="EW268" s="16112"/>
      <c r="EX268" s="16112"/>
      <c r="EY268" s="10499" t="s">
        <v>666</v>
      </c>
      <c r="EZ268" s="10500"/>
      <c r="FA268" s="10501"/>
      <c r="FB268" s="10501" t="str">
        <f t="shared" si="4"/>
        <v>Наименование централизованной системы горячего водоснабжения</v>
      </c>
      <c r="FC268" s="10501"/>
      <c r="FD268" s="10501"/>
    </row>
    <row r="269" spans="1:160" s="15469" customFormat="1" ht="23.25" customHeight="1">
      <c r="A269" s="10490"/>
      <c r="B269" s="10490"/>
      <c r="C269" s="10490"/>
      <c r="D269" s="10490"/>
      <c r="E269" s="16125"/>
      <c r="F269" s="16125"/>
      <c r="G269" s="16125">
        <v>1</v>
      </c>
      <c r="H269" s="16125"/>
      <c r="I269" s="16122" t="str">
        <f>S268&amp;".1"</f>
        <v>3.1.2.1</v>
      </c>
      <c r="J269" s="10490"/>
      <c r="K269" s="10490"/>
      <c r="L269" s="10491"/>
      <c r="M269" s="10508"/>
      <c r="N269" s="10508"/>
      <c r="O269" s="10508"/>
      <c r="P269" s="16123">
        <v>1</v>
      </c>
      <c r="Q269" s="10509"/>
      <c r="R269" s="10510"/>
      <c r="S269" s="10496" t="str">
        <f>$I269</f>
        <v>3.1.2.1</v>
      </c>
      <c r="T269" s="10511" t="s">
        <v>618</v>
      </c>
      <c r="U269" s="10498"/>
      <c r="V269" s="16183"/>
      <c r="W269" s="16184"/>
      <c r="X269" s="16184"/>
      <c r="Y269" s="16184"/>
      <c r="Z269" s="16184"/>
      <c r="AA269" s="16184"/>
      <c r="AB269" s="16184"/>
      <c r="AC269" s="16184"/>
      <c r="AD269" s="16184"/>
      <c r="AE269" s="16184"/>
      <c r="AF269" s="16185"/>
      <c r="AG269" s="16186"/>
      <c r="AH269" s="16187"/>
      <c r="AI269" s="16187"/>
      <c r="AJ269" s="16187"/>
      <c r="AK269" s="16187"/>
      <c r="AL269" s="16187"/>
      <c r="AM269" s="16187"/>
      <c r="AN269" s="16187"/>
      <c r="AO269" s="16187"/>
      <c r="AP269" s="16187"/>
      <c r="AQ269" s="16187"/>
      <c r="AR269" s="16183"/>
      <c r="AS269" s="16184"/>
      <c r="AT269" s="16184"/>
      <c r="AU269" s="16184"/>
      <c r="AV269" s="16184"/>
      <c r="AW269" s="16184"/>
      <c r="AX269" s="16184"/>
      <c r="AY269" s="16184"/>
      <c r="AZ269" s="16184"/>
      <c r="BA269" s="16184"/>
      <c r="BB269" s="16185"/>
      <c r="BC269" s="16183"/>
      <c r="BD269" s="16184"/>
      <c r="BE269" s="16184"/>
      <c r="BF269" s="16184"/>
      <c r="BG269" s="16184"/>
      <c r="BH269" s="16184"/>
      <c r="BI269" s="16184"/>
      <c r="BJ269" s="16184"/>
      <c r="BK269" s="16184"/>
      <c r="BL269" s="16184"/>
      <c r="BM269" s="16185"/>
      <c r="BN269" s="16183"/>
      <c r="BO269" s="16184"/>
      <c r="BP269" s="16184"/>
      <c r="BQ269" s="16184"/>
      <c r="BR269" s="16184"/>
      <c r="BS269" s="16184"/>
      <c r="BT269" s="16184"/>
      <c r="BU269" s="16184"/>
      <c r="BV269" s="16184"/>
      <c r="BW269" s="16184"/>
      <c r="BX269" s="16185"/>
      <c r="BY269" s="16183"/>
      <c r="BZ269" s="16184"/>
      <c r="CA269" s="16184"/>
      <c r="CB269" s="16184"/>
      <c r="CC269" s="16184"/>
      <c r="CD269" s="16184"/>
      <c r="CE269" s="16184"/>
      <c r="CF269" s="16184"/>
      <c r="CG269" s="16184"/>
      <c r="CH269" s="16184"/>
      <c r="CI269" s="16185"/>
      <c r="CJ269" s="16183"/>
      <c r="CK269" s="16184"/>
      <c r="CL269" s="16184"/>
      <c r="CM269" s="16184"/>
      <c r="CN269" s="16184"/>
      <c r="CO269" s="16184"/>
      <c r="CP269" s="16184"/>
      <c r="CQ269" s="16184"/>
      <c r="CR269" s="16184"/>
      <c r="CS269" s="16184"/>
      <c r="CT269" s="16185"/>
      <c r="CU269" s="16183"/>
      <c r="CV269" s="16184"/>
      <c r="CW269" s="16184"/>
      <c r="CX269" s="16184"/>
      <c r="CY269" s="16184"/>
      <c r="CZ269" s="16184"/>
      <c r="DA269" s="16184"/>
      <c r="DB269" s="16184"/>
      <c r="DC269" s="16184"/>
      <c r="DD269" s="16184"/>
      <c r="DE269" s="16185"/>
      <c r="DF269" s="16183"/>
      <c r="DG269" s="16184"/>
      <c r="DH269" s="16184"/>
      <c r="DI269" s="16184"/>
      <c r="DJ269" s="16184"/>
      <c r="DK269" s="16184"/>
      <c r="DL269" s="16184"/>
      <c r="DM269" s="16184"/>
      <c r="DN269" s="16184"/>
      <c r="DO269" s="16184"/>
      <c r="DP269" s="16185"/>
      <c r="DQ269" s="16183"/>
      <c r="DR269" s="16184"/>
      <c r="DS269" s="16184"/>
      <c r="DT269" s="16184"/>
      <c r="DU269" s="16184"/>
      <c r="DV269" s="16184"/>
      <c r="DW269" s="16184"/>
      <c r="DX269" s="16184"/>
      <c r="DY269" s="16184"/>
      <c r="DZ269" s="16184"/>
      <c r="EA269" s="16185"/>
      <c r="EB269" s="16183"/>
      <c r="EC269" s="16184"/>
      <c r="ED269" s="16184"/>
      <c r="EE269" s="16184"/>
      <c r="EF269" s="16184"/>
      <c r="EG269" s="16184"/>
      <c r="EH269" s="16184"/>
      <c r="EI269" s="16184"/>
      <c r="EJ269" s="16184"/>
      <c r="EK269" s="16184"/>
      <c r="EL269" s="16200"/>
      <c r="EM269" s="16183"/>
      <c r="EN269" s="16184"/>
      <c r="EO269" s="16184"/>
      <c r="EP269" s="16184"/>
      <c r="EQ269" s="16184"/>
      <c r="ER269" s="16184"/>
      <c r="ES269" s="16184"/>
      <c r="ET269" s="16184"/>
      <c r="EU269" s="16184"/>
      <c r="EV269" s="16184"/>
      <c r="EW269" s="16185"/>
      <c r="EX269" s="16188"/>
      <c r="EY269" s="10499" t="s">
        <v>619</v>
      </c>
      <c r="EZ269" s="10500"/>
      <c r="FA269" s="10501"/>
      <c r="FB269" s="10501" t="str">
        <f t="shared" si="4"/>
        <v>Наименование признака дифференциации</v>
      </c>
      <c r="FC269" s="10501"/>
      <c r="FD269" s="10501"/>
    </row>
    <row r="270" spans="1:160" s="15470" customFormat="1" ht="23.25" customHeight="1">
      <c r="A270" s="10490"/>
      <c r="B270" s="10490"/>
      <c r="C270" s="10490"/>
      <c r="D270" s="10490"/>
      <c r="E270" s="16125"/>
      <c r="F270" s="16125"/>
      <c r="G270" s="16125">
        <v>1</v>
      </c>
      <c r="H270" s="16125"/>
      <c r="I270" s="16145"/>
      <c r="J270" s="16122" t="str">
        <f>I269&amp;".1"</f>
        <v>3.1.2.1.1</v>
      </c>
      <c r="K270" s="10490"/>
      <c r="L270" s="10491" t="s">
        <v>543</v>
      </c>
      <c r="M270" s="10508"/>
      <c r="N270" s="10508"/>
      <c r="O270" s="10508"/>
      <c r="P270" s="16123"/>
      <c r="Q270" s="16123">
        <v>1</v>
      </c>
      <c r="R270" s="10512"/>
      <c r="S270" s="10496" t="str">
        <f>$J270</f>
        <v>3.1.2.1.1</v>
      </c>
      <c r="T270" s="10513" t="s">
        <v>544</v>
      </c>
      <c r="U270" s="10498"/>
      <c r="V270" s="16113"/>
      <c r="W270" s="16114"/>
      <c r="X270" s="16114"/>
      <c r="Y270" s="16114"/>
      <c r="Z270" s="16114"/>
      <c r="AA270" s="16114"/>
      <c r="AB270" s="16114"/>
      <c r="AC270" s="16114"/>
      <c r="AD270" s="16114"/>
      <c r="AE270" s="16114"/>
      <c r="AF270" s="16115"/>
      <c r="AG270" s="16113" t="s">
        <v>679</v>
      </c>
      <c r="AH270" s="16114"/>
      <c r="AI270" s="16114"/>
      <c r="AJ270" s="16114"/>
      <c r="AK270" s="16114"/>
      <c r="AL270" s="16114"/>
      <c r="AM270" s="16114"/>
      <c r="AN270" s="16114"/>
      <c r="AO270" s="16114"/>
      <c r="AP270" s="16114"/>
      <c r="AQ270" s="16114"/>
      <c r="AR270" s="16113"/>
      <c r="AS270" s="16114"/>
      <c r="AT270" s="16114"/>
      <c r="AU270" s="16114"/>
      <c r="AV270" s="16114"/>
      <c r="AW270" s="16114"/>
      <c r="AX270" s="16114"/>
      <c r="AY270" s="16114"/>
      <c r="AZ270" s="16114"/>
      <c r="BA270" s="16114"/>
      <c r="BB270" s="16115"/>
      <c r="BC270" s="16113"/>
      <c r="BD270" s="16114"/>
      <c r="BE270" s="16114"/>
      <c r="BF270" s="16114"/>
      <c r="BG270" s="16114"/>
      <c r="BH270" s="16114"/>
      <c r="BI270" s="16114"/>
      <c r="BJ270" s="16114"/>
      <c r="BK270" s="16114"/>
      <c r="BL270" s="16114"/>
      <c r="BM270" s="16115"/>
      <c r="BN270" s="16113"/>
      <c r="BO270" s="16114"/>
      <c r="BP270" s="16114"/>
      <c r="BQ270" s="16114"/>
      <c r="BR270" s="16114"/>
      <c r="BS270" s="16114"/>
      <c r="BT270" s="16114"/>
      <c r="BU270" s="16114"/>
      <c r="BV270" s="16114"/>
      <c r="BW270" s="16114"/>
      <c r="BX270" s="16115"/>
      <c r="BY270" s="16113"/>
      <c r="BZ270" s="16114"/>
      <c r="CA270" s="16114"/>
      <c r="CB270" s="16114"/>
      <c r="CC270" s="16114"/>
      <c r="CD270" s="16114"/>
      <c r="CE270" s="16114"/>
      <c r="CF270" s="16114"/>
      <c r="CG270" s="16114"/>
      <c r="CH270" s="16114"/>
      <c r="CI270" s="16115"/>
      <c r="CJ270" s="16113"/>
      <c r="CK270" s="16114"/>
      <c r="CL270" s="16114"/>
      <c r="CM270" s="16114"/>
      <c r="CN270" s="16114"/>
      <c r="CO270" s="16114"/>
      <c r="CP270" s="16114"/>
      <c r="CQ270" s="16114"/>
      <c r="CR270" s="16114"/>
      <c r="CS270" s="16114"/>
      <c r="CT270" s="16115"/>
      <c r="CU270" s="16113"/>
      <c r="CV270" s="16114"/>
      <c r="CW270" s="16114"/>
      <c r="CX270" s="16114"/>
      <c r="CY270" s="16114"/>
      <c r="CZ270" s="16114"/>
      <c r="DA270" s="16114"/>
      <c r="DB270" s="16114"/>
      <c r="DC270" s="16114"/>
      <c r="DD270" s="16114"/>
      <c r="DE270" s="16115"/>
      <c r="DF270" s="16113"/>
      <c r="DG270" s="16114"/>
      <c r="DH270" s="16114"/>
      <c r="DI270" s="16114"/>
      <c r="DJ270" s="16114"/>
      <c r="DK270" s="16114"/>
      <c r="DL270" s="16114"/>
      <c r="DM270" s="16114"/>
      <c r="DN270" s="16114"/>
      <c r="DO270" s="16114"/>
      <c r="DP270" s="16115"/>
      <c r="DQ270" s="16113"/>
      <c r="DR270" s="16114"/>
      <c r="DS270" s="16114"/>
      <c r="DT270" s="16114"/>
      <c r="DU270" s="16114"/>
      <c r="DV270" s="16114"/>
      <c r="DW270" s="16114"/>
      <c r="DX270" s="16114"/>
      <c r="DY270" s="16114"/>
      <c r="DZ270" s="16114"/>
      <c r="EA270" s="16115"/>
      <c r="EB270" s="16113"/>
      <c r="EC270" s="16114"/>
      <c r="ED270" s="16114"/>
      <c r="EE270" s="16114"/>
      <c r="EF270" s="16114"/>
      <c r="EG270" s="16114"/>
      <c r="EH270" s="16114"/>
      <c r="EI270" s="16114"/>
      <c r="EJ270" s="16114"/>
      <c r="EK270" s="16114"/>
      <c r="EL270" s="16201"/>
      <c r="EM270" s="16113"/>
      <c r="EN270" s="16114"/>
      <c r="EO270" s="16114"/>
      <c r="EP270" s="16114"/>
      <c r="EQ270" s="16114"/>
      <c r="ER270" s="16114"/>
      <c r="ES270" s="16114"/>
      <c r="ET270" s="16114"/>
      <c r="EU270" s="16114"/>
      <c r="EV270" s="16114"/>
      <c r="EW270" s="16115"/>
      <c r="EX270" s="16115"/>
      <c r="EY270" s="10514" t="s">
        <v>620</v>
      </c>
      <c r="EZ270" s="10500"/>
      <c r="FA270" s="10501"/>
      <c r="FB270" s="10501" t="str">
        <f t="shared" si="4"/>
        <v>Группа потребителей</v>
      </c>
      <c r="FC270" s="10501"/>
      <c r="FD270" s="10501"/>
    </row>
    <row r="271" spans="1:160" s="15471" customFormat="1" ht="23.25" customHeight="1">
      <c r="A271" s="10490"/>
      <c r="B271" s="10490"/>
      <c r="C271" s="10490"/>
      <c r="D271" s="10490"/>
      <c r="E271" s="16125"/>
      <c r="F271" s="16125"/>
      <c r="G271" s="16125">
        <v>1</v>
      </c>
      <c r="H271" s="16125"/>
      <c r="I271" s="16145"/>
      <c r="J271" s="16145"/>
      <c r="K271" s="16122" t="str">
        <f>J270&amp;".1"</f>
        <v>3.1.2.1.1.1</v>
      </c>
      <c r="L271" s="10491"/>
      <c r="M271" s="10508"/>
      <c r="N271" s="10508"/>
      <c r="O271" s="10508"/>
      <c r="P271" s="16123"/>
      <c r="Q271" s="16123"/>
      <c r="R271" s="10512">
        <v>1</v>
      </c>
      <c r="S271" s="10496" t="str">
        <f>$K271</f>
        <v>3.1.2.1.1.1</v>
      </c>
      <c r="T271" s="10515"/>
      <c r="U271" s="10498"/>
      <c r="V271" s="10516"/>
      <c r="W271" s="10516"/>
      <c r="X271" s="10516"/>
      <c r="Y271" s="10516"/>
      <c r="Z271" s="10516"/>
      <c r="AA271" s="10516"/>
      <c r="AB271" s="10516"/>
      <c r="AC271" s="16127"/>
      <c r="AD271" s="15973" t="s">
        <v>66</v>
      </c>
      <c r="AE271" s="16127"/>
      <c r="AF271" s="15973" t="s">
        <v>66</v>
      </c>
      <c r="AG271" s="10516">
        <v>35.07</v>
      </c>
      <c r="AH271" s="10516"/>
      <c r="AI271" s="10516"/>
      <c r="AJ271" s="10516"/>
      <c r="AK271" s="10516">
        <v>3165.42</v>
      </c>
      <c r="AL271" s="10516"/>
      <c r="AM271" s="10516"/>
      <c r="AN271" s="16127">
        <v>45292</v>
      </c>
      <c r="AO271" s="15973" t="s">
        <v>66</v>
      </c>
      <c r="AP271" s="16146">
        <v>45378</v>
      </c>
      <c r="AQ271" s="15973" t="s">
        <v>66</v>
      </c>
      <c r="AR271" s="10516">
        <v>35.07</v>
      </c>
      <c r="AS271" s="10516"/>
      <c r="AT271" s="10516"/>
      <c r="AU271" s="10516"/>
      <c r="AV271" s="10516">
        <v>3165.42</v>
      </c>
      <c r="AW271" s="10516"/>
      <c r="AX271" s="10516"/>
      <c r="AY271" s="16127">
        <v>45379</v>
      </c>
      <c r="AZ271" s="15973" t="s">
        <v>66</v>
      </c>
      <c r="BA271" s="16127">
        <v>45473</v>
      </c>
      <c r="BB271" s="15973" t="s">
        <v>66</v>
      </c>
      <c r="BC271" s="10516">
        <v>38.96</v>
      </c>
      <c r="BD271" s="10516"/>
      <c r="BE271" s="10516"/>
      <c r="BF271" s="10516"/>
      <c r="BG271" s="10516">
        <v>3554.77</v>
      </c>
      <c r="BH271" s="10516"/>
      <c r="BI271" s="10516"/>
      <c r="BJ271" s="16127">
        <v>45474</v>
      </c>
      <c r="BK271" s="15973" t="s">
        <v>66</v>
      </c>
      <c r="BL271" s="16127">
        <v>45657</v>
      </c>
      <c r="BM271" s="15973" t="s">
        <v>66</v>
      </c>
      <c r="BN271" s="10516">
        <v>37.31</v>
      </c>
      <c r="BO271" s="10516"/>
      <c r="BP271" s="10516"/>
      <c r="BQ271" s="10516"/>
      <c r="BR271" s="10516">
        <v>3554.77</v>
      </c>
      <c r="BS271" s="10516"/>
      <c r="BT271" s="10516"/>
      <c r="BU271" s="16127">
        <v>45658</v>
      </c>
      <c r="BV271" s="15973" t="s">
        <v>66</v>
      </c>
      <c r="BW271" s="16127">
        <v>45838</v>
      </c>
      <c r="BX271" s="15973" t="s">
        <v>66</v>
      </c>
      <c r="BY271" s="10516">
        <v>37.369999999999997</v>
      </c>
      <c r="BZ271" s="10516"/>
      <c r="CA271" s="10516"/>
      <c r="CB271" s="10516"/>
      <c r="CC271" s="10516">
        <v>3704.07</v>
      </c>
      <c r="CD271" s="10516"/>
      <c r="CE271" s="10516"/>
      <c r="CF271" s="16127">
        <v>45839</v>
      </c>
      <c r="CG271" s="15973" t="s">
        <v>66</v>
      </c>
      <c r="CH271" s="16127">
        <v>46022</v>
      </c>
      <c r="CI271" s="15973" t="s">
        <v>66</v>
      </c>
      <c r="CJ271" s="10516">
        <v>37.369999999999997</v>
      </c>
      <c r="CK271" s="10516"/>
      <c r="CL271" s="10516"/>
      <c r="CM271" s="10516"/>
      <c r="CN271" s="10516">
        <v>3704.07</v>
      </c>
      <c r="CO271" s="10516"/>
      <c r="CP271" s="10516"/>
      <c r="CQ271" s="16127">
        <v>46023</v>
      </c>
      <c r="CR271" s="15973" t="s">
        <v>66</v>
      </c>
      <c r="CS271" s="16127">
        <v>46203</v>
      </c>
      <c r="CT271" s="15973" t="s">
        <v>66</v>
      </c>
      <c r="CU271" s="10516">
        <v>39.51</v>
      </c>
      <c r="CV271" s="10516"/>
      <c r="CW271" s="10516"/>
      <c r="CX271" s="10516"/>
      <c r="CY271" s="10516">
        <v>3852.23</v>
      </c>
      <c r="CZ271" s="10516"/>
      <c r="DA271" s="10516"/>
      <c r="DB271" s="16127">
        <v>46204</v>
      </c>
      <c r="DC271" s="15973" t="s">
        <v>66</v>
      </c>
      <c r="DD271" s="16127">
        <v>46387</v>
      </c>
      <c r="DE271" s="15973" t="s">
        <v>66</v>
      </c>
      <c r="DF271" s="10516">
        <v>39.51</v>
      </c>
      <c r="DG271" s="10516"/>
      <c r="DH271" s="10516"/>
      <c r="DI271" s="10516"/>
      <c r="DJ271" s="10516">
        <v>3852.23</v>
      </c>
      <c r="DK271" s="10516"/>
      <c r="DL271" s="10516"/>
      <c r="DM271" s="16127">
        <v>46388</v>
      </c>
      <c r="DN271" s="15973" t="s">
        <v>66</v>
      </c>
      <c r="DO271" s="16127">
        <v>46568</v>
      </c>
      <c r="DP271" s="15973" t="s">
        <v>66</v>
      </c>
      <c r="DQ271" s="10516">
        <v>39.82</v>
      </c>
      <c r="DR271" s="10516"/>
      <c r="DS271" s="10516"/>
      <c r="DT271" s="10516"/>
      <c r="DU271" s="10516">
        <v>4006.32</v>
      </c>
      <c r="DV271" s="10516"/>
      <c r="DW271" s="10516"/>
      <c r="DX271" s="16127">
        <v>46569</v>
      </c>
      <c r="DY271" s="15973" t="s">
        <v>66</v>
      </c>
      <c r="DZ271" s="16127">
        <v>46752</v>
      </c>
      <c r="EA271" s="15973" t="s">
        <v>66</v>
      </c>
      <c r="EB271" s="10516">
        <v>39.82</v>
      </c>
      <c r="EC271" s="10516"/>
      <c r="ED271" s="10516"/>
      <c r="EE271" s="10516"/>
      <c r="EF271" s="10516">
        <v>4006.32</v>
      </c>
      <c r="EG271" s="10516"/>
      <c r="EH271" s="10516"/>
      <c r="EI271" s="16127">
        <v>46753</v>
      </c>
      <c r="EJ271" s="15973" t="s">
        <v>66</v>
      </c>
      <c r="EK271" s="16127">
        <v>46934</v>
      </c>
      <c r="EL271" s="16202" t="s">
        <v>66</v>
      </c>
      <c r="EM271" s="14448">
        <v>41.41</v>
      </c>
      <c r="EN271" s="14448"/>
      <c r="EO271" s="14448"/>
      <c r="EP271" s="14448"/>
      <c r="EQ271" s="14448">
        <v>4166.57</v>
      </c>
      <c r="ER271" s="14448"/>
      <c r="ES271" s="14448"/>
      <c r="ET271" s="16127">
        <v>46935</v>
      </c>
      <c r="EU271" s="15973" t="s">
        <v>66</v>
      </c>
      <c r="EV271" s="16127">
        <v>47118</v>
      </c>
      <c r="EW271" s="15973" t="s">
        <v>66</v>
      </c>
      <c r="EX271" s="10517"/>
      <c r="EY27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71" s="10500" t="e">
        <f ca="1">STRCHECKDATE(V272:EX272)</f>
        <v>#NAME?</v>
      </c>
      <c r="FA271" s="10501"/>
      <c r="FB271" s="10501" t="str">
        <f t="shared" si="4"/>
        <v/>
      </c>
      <c r="FC271" s="10501"/>
      <c r="FD271" s="10501"/>
    </row>
    <row r="272" spans="1:160" s="15472" customFormat="1" ht="14.25" customHeight="1">
      <c r="A272" s="10490"/>
      <c r="B272" s="10490"/>
      <c r="C272" s="10490"/>
      <c r="D272" s="10490"/>
      <c r="E272" s="16125"/>
      <c r="F272" s="16125"/>
      <c r="G272" s="16125">
        <v>1</v>
      </c>
      <c r="H272" s="16125"/>
      <c r="I272" s="16145"/>
      <c r="J272" s="16145"/>
      <c r="K272" s="16122"/>
      <c r="L272" s="10491"/>
      <c r="M272" s="10508"/>
      <c r="N272" s="10508"/>
      <c r="O272" s="10508"/>
      <c r="P272" s="16123"/>
      <c r="Q272" s="16123"/>
      <c r="R272" s="10512"/>
      <c r="S272" s="10518"/>
      <c r="T272" s="10498"/>
      <c r="U272" s="10498"/>
      <c r="V272" s="10519"/>
      <c r="W272" s="10519"/>
      <c r="X272" s="10519"/>
      <c r="Y272" s="10519"/>
      <c r="Z272" s="10519"/>
      <c r="AA272" s="10519"/>
      <c r="AB272" s="10519"/>
      <c r="AC272" s="16128"/>
      <c r="AD272" s="15973"/>
      <c r="AE272" s="16128"/>
      <c r="AF272" s="15973"/>
      <c r="AG272" s="10519"/>
      <c r="AH272" s="10519"/>
      <c r="AI272" s="10519"/>
      <c r="AJ272" s="10519"/>
      <c r="AK272" s="10519"/>
      <c r="AL272" s="10519"/>
      <c r="AM272" s="10519"/>
      <c r="AN272" s="16128"/>
      <c r="AO272" s="15973"/>
      <c r="AP272" s="16147"/>
      <c r="AQ272" s="15973"/>
      <c r="AR272" s="10519"/>
      <c r="AS272" s="10519"/>
      <c r="AT272" s="10519"/>
      <c r="AU272" s="10519"/>
      <c r="AV272" s="10519"/>
      <c r="AW272" s="10519"/>
      <c r="AX272" s="10519"/>
      <c r="AY272" s="16128"/>
      <c r="AZ272" s="15973"/>
      <c r="BA272" s="16128"/>
      <c r="BB272" s="15973"/>
      <c r="BC272" s="10519"/>
      <c r="BD272" s="10519"/>
      <c r="BE272" s="10519"/>
      <c r="BF272" s="10519"/>
      <c r="BG272" s="10519"/>
      <c r="BH272" s="10519"/>
      <c r="BI272" s="10519"/>
      <c r="BJ272" s="16128"/>
      <c r="BK272" s="15973"/>
      <c r="BL272" s="16128"/>
      <c r="BM272" s="15973"/>
      <c r="BN272" s="10519"/>
      <c r="BO272" s="10519"/>
      <c r="BP272" s="10519"/>
      <c r="BQ272" s="10519"/>
      <c r="BR272" s="10519"/>
      <c r="BS272" s="10519"/>
      <c r="BT272" s="10519"/>
      <c r="BU272" s="16128"/>
      <c r="BV272" s="15973"/>
      <c r="BW272" s="16128"/>
      <c r="BX272" s="15973"/>
      <c r="BY272" s="10519"/>
      <c r="BZ272" s="10519"/>
      <c r="CA272" s="10519"/>
      <c r="CB272" s="10519"/>
      <c r="CC272" s="10519"/>
      <c r="CD272" s="10519"/>
      <c r="CE272" s="10519"/>
      <c r="CF272" s="16128"/>
      <c r="CG272" s="15973"/>
      <c r="CH272" s="16128"/>
      <c r="CI272" s="15973"/>
      <c r="CJ272" s="10519"/>
      <c r="CK272" s="10519"/>
      <c r="CL272" s="10519"/>
      <c r="CM272" s="10519"/>
      <c r="CN272" s="10519"/>
      <c r="CO272" s="10519"/>
      <c r="CP272" s="10519"/>
      <c r="CQ272" s="16128"/>
      <c r="CR272" s="15973"/>
      <c r="CS272" s="16128"/>
      <c r="CT272" s="15973"/>
      <c r="CU272" s="10519"/>
      <c r="CV272" s="10519"/>
      <c r="CW272" s="10519"/>
      <c r="CX272" s="10519"/>
      <c r="CY272" s="10519"/>
      <c r="CZ272" s="10519"/>
      <c r="DA272" s="10519"/>
      <c r="DB272" s="16128"/>
      <c r="DC272" s="15973"/>
      <c r="DD272" s="16128"/>
      <c r="DE272" s="15973"/>
      <c r="DF272" s="10519"/>
      <c r="DG272" s="10519"/>
      <c r="DH272" s="10519"/>
      <c r="DI272" s="10519"/>
      <c r="DJ272" s="10519"/>
      <c r="DK272" s="10519"/>
      <c r="DL272" s="10519"/>
      <c r="DM272" s="16128"/>
      <c r="DN272" s="15973"/>
      <c r="DO272" s="16128"/>
      <c r="DP272" s="15973"/>
      <c r="DQ272" s="10519"/>
      <c r="DR272" s="10519"/>
      <c r="DS272" s="10519"/>
      <c r="DT272" s="10519"/>
      <c r="DU272" s="10519"/>
      <c r="DV272" s="10519"/>
      <c r="DW272" s="10519"/>
      <c r="DX272" s="16128"/>
      <c r="DY272" s="15973"/>
      <c r="DZ272" s="16128"/>
      <c r="EA272" s="15973"/>
      <c r="EB272" s="10519"/>
      <c r="EC272" s="10519"/>
      <c r="ED272" s="10519"/>
      <c r="EE272" s="10519"/>
      <c r="EF272" s="10519"/>
      <c r="EG272" s="10519"/>
      <c r="EH272" s="10519"/>
      <c r="EI272" s="16128"/>
      <c r="EJ272" s="15973"/>
      <c r="EK272" s="16128"/>
      <c r="EL272" s="16202"/>
      <c r="EM272" s="14449"/>
      <c r="EN272" s="14449"/>
      <c r="EO272" s="14449"/>
      <c r="EP272" s="14449"/>
      <c r="EQ272" s="14449"/>
      <c r="ER272" s="14449"/>
      <c r="ES272" s="14449"/>
      <c r="ET272" s="16128"/>
      <c r="EU272" s="15973"/>
      <c r="EV272" s="16128"/>
      <c r="EW272" s="15973"/>
      <c r="EX272" s="10520"/>
      <c r="EY272" s="16182"/>
      <c r="EZ272" s="10500"/>
      <c r="FA272" s="10501"/>
      <c r="FB272" s="10501" t="str">
        <f t="shared" si="4"/>
        <v/>
      </c>
      <c r="FC272" s="10501"/>
      <c r="FD272" s="10501"/>
    </row>
    <row r="273" spans="1:160" s="15473" customFormat="1" ht="21" customHeight="1">
      <c r="A273" s="10490"/>
      <c r="B273" s="10490"/>
      <c r="C273" s="10490"/>
      <c r="D273" s="10490"/>
      <c r="E273" s="16125"/>
      <c r="F273" s="16125"/>
      <c r="G273" s="16125">
        <v>1</v>
      </c>
      <c r="H273" s="16125"/>
      <c r="I273" s="16145"/>
      <c r="J273" s="16122"/>
      <c r="K273" s="10490"/>
      <c r="L273" s="10491"/>
      <c r="M273" s="10508"/>
      <c r="N273" s="10508"/>
      <c r="O273" s="10508"/>
      <c r="P273" s="16123"/>
      <c r="Q273" s="16123"/>
      <c r="R273" s="10510"/>
      <c r="S273" s="10900"/>
      <c r="T273" s="10901" t="s">
        <v>621</v>
      </c>
      <c r="U273" s="10902"/>
      <c r="V273" s="10903"/>
      <c r="W273" s="10904"/>
      <c r="X273" s="10905"/>
      <c r="Y273" s="10906"/>
      <c r="Z273" s="10907"/>
      <c r="AA273" s="10908"/>
      <c r="AB273" s="10909"/>
      <c r="AC273" s="10910"/>
      <c r="AD273" s="10911"/>
      <c r="AE273" s="10912"/>
      <c r="AF273" s="10913"/>
      <c r="AG273" s="10914"/>
      <c r="AH273" s="10915"/>
      <c r="AI273" s="10916"/>
      <c r="AJ273" s="10917"/>
      <c r="AK273" s="10918"/>
      <c r="AL273" s="10919"/>
      <c r="AM273" s="10920"/>
      <c r="AN273" s="10921"/>
      <c r="AO273" s="10922"/>
      <c r="AP273" s="10923"/>
      <c r="AQ273" s="10924"/>
      <c r="AR273" s="10925"/>
      <c r="AS273" s="10926"/>
      <c r="AT273" s="10927"/>
      <c r="AU273" s="10928"/>
      <c r="AV273" s="10929"/>
      <c r="AW273" s="10930"/>
      <c r="AX273" s="10931"/>
      <c r="AY273" s="10932"/>
      <c r="AZ273" s="10933"/>
      <c r="BA273" s="10934"/>
      <c r="BB273" s="10935"/>
      <c r="BC273" s="10936"/>
      <c r="BD273" s="10937"/>
      <c r="BE273" s="10938"/>
      <c r="BF273" s="10939"/>
      <c r="BG273" s="10940"/>
      <c r="BH273" s="10941"/>
      <c r="BI273" s="10942"/>
      <c r="BJ273" s="10943"/>
      <c r="BK273" s="10944"/>
      <c r="BL273" s="10945"/>
      <c r="BM273" s="10946"/>
      <c r="BN273" s="10947"/>
      <c r="BO273" s="10948"/>
      <c r="BP273" s="10949"/>
      <c r="BQ273" s="10950"/>
      <c r="BR273" s="10951"/>
      <c r="BS273" s="10952"/>
      <c r="BT273" s="10953"/>
      <c r="BU273" s="10954"/>
      <c r="BV273" s="10955"/>
      <c r="BW273" s="10956"/>
      <c r="BX273" s="10957"/>
      <c r="BY273" s="10958"/>
      <c r="BZ273" s="10959"/>
      <c r="CA273" s="10960"/>
      <c r="CB273" s="10961"/>
      <c r="CC273" s="10962"/>
      <c r="CD273" s="10963"/>
      <c r="CE273" s="10964"/>
      <c r="CF273" s="10965"/>
      <c r="CG273" s="10966"/>
      <c r="CH273" s="10967"/>
      <c r="CI273" s="10968"/>
      <c r="CJ273" s="10969"/>
      <c r="CK273" s="10970"/>
      <c r="CL273" s="10971"/>
      <c r="CM273" s="10972"/>
      <c r="CN273" s="10973"/>
      <c r="CO273" s="10974"/>
      <c r="CP273" s="10975"/>
      <c r="CQ273" s="10976"/>
      <c r="CR273" s="10977"/>
      <c r="CS273" s="10978"/>
      <c r="CT273" s="10979"/>
      <c r="CU273" s="10980"/>
      <c r="CV273" s="10981"/>
      <c r="CW273" s="10982"/>
      <c r="CX273" s="10983"/>
      <c r="CY273" s="10984"/>
      <c r="CZ273" s="10985"/>
      <c r="DA273" s="10986"/>
      <c r="DB273" s="10987"/>
      <c r="DC273" s="10988"/>
      <c r="DD273" s="10989"/>
      <c r="DE273" s="10990"/>
      <c r="DF273" s="10991"/>
      <c r="DG273" s="10992"/>
      <c r="DH273" s="10993"/>
      <c r="DI273" s="10994"/>
      <c r="DJ273" s="10995"/>
      <c r="DK273" s="10996"/>
      <c r="DL273" s="10997"/>
      <c r="DM273" s="10998"/>
      <c r="DN273" s="10999"/>
      <c r="DO273" s="11000"/>
      <c r="DP273" s="11001"/>
      <c r="DQ273" s="11002"/>
      <c r="DR273" s="11003"/>
      <c r="DS273" s="11004"/>
      <c r="DT273" s="11005"/>
      <c r="DU273" s="11006"/>
      <c r="DV273" s="11007"/>
      <c r="DW273" s="11008"/>
      <c r="DX273" s="11009"/>
      <c r="DY273" s="11010"/>
      <c r="DZ273" s="11011"/>
      <c r="EA273" s="11012"/>
      <c r="EB273" s="11013"/>
      <c r="EC273" s="11014"/>
      <c r="ED273" s="11015"/>
      <c r="EE273" s="11016"/>
      <c r="EF273" s="11017"/>
      <c r="EG273" s="11018"/>
      <c r="EH273" s="11019"/>
      <c r="EI273" s="11020"/>
      <c r="EJ273" s="11021"/>
      <c r="EK273" s="11022"/>
      <c r="EL273" s="11023"/>
      <c r="EM273" s="15474"/>
      <c r="EN273" s="15475"/>
      <c r="EO273" s="15476"/>
      <c r="EP273" s="15477"/>
      <c r="EQ273" s="15478"/>
      <c r="ER273" s="15479"/>
      <c r="ES273" s="15480"/>
      <c r="ET273" s="15481"/>
      <c r="EU273" s="15482"/>
      <c r="EV273" s="15483"/>
      <c r="EW273" s="15484"/>
      <c r="EX273" s="11024"/>
      <c r="EY273" s="10499" t="s">
        <v>622</v>
      </c>
      <c r="EZ273" s="10500"/>
      <c r="FA273" s="10501"/>
      <c r="FB273" s="10501" t="str">
        <f t="shared" si="4"/>
        <v>Добавить значение признака дифференциации</v>
      </c>
      <c r="FC273" s="10501"/>
      <c r="FD273" s="10501"/>
    </row>
    <row r="274" spans="1:160" s="15485" customFormat="1" ht="21" customHeight="1">
      <c r="A274" s="10490"/>
      <c r="B274" s="10490"/>
      <c r="C274" s="10490"/>
      <c r="D274" s="10490"/>
      <c r="E274" s="16125"/>
      <c r="F274" s="16125"/>
      <c r="G274" s="16125">
        <v>1</v>
      </c>
      <c r="H274" s="16125"/>
      <c r="I274" s="16122"/>
      <c r="J274" s="10490"/>
      <c r="K274" s="10490"/>
      <c r="L274" s="10491"/>
      <c r="M274" s="10508"/>
      <c r="N274" s="10508"/>
      <c r="O274" s="10508"/>
      <c r="P274" s="16123"/>
      <c r="Q274" s="10509"/>
      <c r="R274" s="10510"/>
      <c r="S274" s="11025"/>
      <c r="T274" s="11026" t="s">
        <v>549</v>
      </c>
      <c r="U274" s="11027"/>
      <c r="V274" s="11028"/>
      <c r="W274" s="11029"/>
      <c r="X274" s="11030"/>
      <c r="Y274" s="11031"/>
      <c r="Z274" s="11032"/>
      <c r="AA274" s="11033"/>
      <c r="AB274" s="11034"/>
      <c r="AC274" s="11035"/>
      <c r="AD274" s="11036"/>
      <c r="AE274" s="11037"/>
      <c r="AF274" s="11038"/>
      <c r="AG274" s="11039"/>
      <c r="AH274" s="11040"/>
      <c r="AI274" s="11041"/>
      <c r="AJ274" s="11042"/>
      <c r="AK274" s="11043"/>
      <c r="AL274" s="11044"/>
      <c r="AM274" s="11045"/>
      <c r="AN274" s="11046"/>
      <c r="AO274" s="11047"/>
      <c r="AP274" s="11048"/>
      <c r="AQ274" s="11049"/>
      <c r="AR274" s="11050"/>
      <c r="AS274" s="11051"/>
      <c r="AT274" s="11052"/>
      <c r="AU274" s="11053"/>
      <c r="AV274" s="11054"/>
      <c r="AW274" s="11055"/>
      <c r="AX274" s="11056"/>
      <c r="AY274" s="11057"/>
      <c r="AZ274" s="11058"/>
      <c r="BA274" s="11059"/>
      <c r="BB274" s="11060"/>
      <c r="BC274" s="11061"/>
      <c r="BD274" s="11062"/>
      <c r="BE274" s="11063"/>
      <c r="BF274" s="11064"/>
      <c r="BG274" s="11065"/>
      <c r="BH274" s="11066"/>
      <c r="BI274" s="11067"/>
      <c r="BJ274" s="11068"/>
      <c r="BK274" s="11069"/>
      <c r="BL274" s="11070"/>
      <c r="BM274" s="11071"/>
      <c r="BN274" s="11072"/>
      <c r="BO274" s="11073"/>
      <c r="BP274" s="11074"/>
      <c r="BQ274" s="11075"/>
      <c r="BR274" s="11076"/>
      <c r="BS274" s="11077"/>
      <c r="BT274" s="11078"/>
      <c r="BU274" s="11079"/>
      <c r="BV274" s="11080"/>
      <c r="BW274" s="11081"/>
      <c r="BX274" s="11082"/>
      <c r="BY274" s="11083"/>
      <c r="BZ274" s="11084"/>
      <c r="CA274" s="11085"/>
      <c r="CB274" s="11086"/>
      <c r="CC274" s="11087"/>
      <c r="CD274" s="11088"/>
      <c r="CE274" s="11089"/>
      <c r="CF274" s="11090"/>
      <c r="CG274" s="11091"/>
      <c r="CH274" s="11092"/>
      <c r="CI274" s="11093"/>
      <c r="CJ274" s="11094"/>
      <c r="CK274" s="11095"/>
      <c r="CL274" s="11096"/>
      <c r="CM274" s="11097"/>
      <c r="CN274" s="11098"/>
      <c r="CO274" s="11099"/>
      <c r="CP274" s="11100"/>
      <c r="CQ274" s="11101"/>
      <c r="CR274" s="11102"/>
      <c r="CS274" s="11103"/>
      <c r="CT274" s="11104"/>
      <c r="CU274" s="11105"/>
      <c r="CV274" s="11106"/>
      <c r="CW274" s="11107"/>
      <c r="CX274" s="11108"/>
      <c r="CY274" s="11109"/>
      <c r="CZ274" s="11110"/>
      <c r="DA274" s="11111"/>
      <c r="DB274" s="11112"/>
      <c r="DC274" s="11113"/>
      <c r="DD274" s="11114"/>
      <c r="DE274" s="11115"/>
      <c r="DF274" s="11116"/>
      <c r="DG274" s="11117"/>
      <c r="DH274" s="11118"/>
      <c r="DI274" s="11119"/>
      <c r="DJ274" s="11120"/>
      <c r="DK274" s="11121"/>
      <c r="DL274" s="11122"/>
      <c r="DM274" s="11123"/>
      <c r="DN274" s="11124"/>
      <c r="DO274" s="11125"/>
      <c r="DP274" s="11126"/>
      <c r="DQ274" s="11127"/>
      <c r="DR274" s="11128"/>
      <c r="DS274" s="11129"/>
      <c r="DT274" s="11130"/>
      <c r="DU274" s="11131"/>
      <c r="DV274" s="11132"/>
      <c r="DW274" s="11133"/>
      <c r="DX274" s="11134"/>
      <c r="DY274" s="11135"/>
      <c r="DZ274" s="11136"/>
      <c r="EA274" s="11137"/>
      <c r="EB274" s="11138"/>
      <c r="EC274" s="11139"/>
      <c r="ED274" s="11140"/>
      <c r="EE274" s="11141"/>
      <c r="EF274" s="11142"/>
      <c r="EG274" s="11143"/>
      <c r="EH274" s="11144"/>
      <c r="EI274" s="11145"/>
      <c r="EJ274" s="11146"/>
      <c r="EK274" s="11147"/>
      <c r="EL274" s="11148"/>
      <c r="EM274" s="15486"/>
      <c r="EN274" s="15487"/>
      <c r="EO274" s="15488"/>
      <c r="EP274" s="15489"/>
      <c r="EQ274" s="15490"/>
      <c r="ER274" s="15491"/>
      <c r="ES274" s="15492"/>
      <c r="ET274" s="15493"/>
      <c r="EU274" s="15494"/>
      <c r="EV274" s="15495"/>
      <c r="EW274" s="15496"/>
      <c r="EX274" s="11149"/>
      <c r="EY274" s="11150"/>
      <c r="EZ274" s="10500"/>
      <c r="FA274" s="10501"/>
      <c r="FB274" s="10501" t="str">
        <f t="shared" si="4"/>
        <v>Добавить группу потребителей</v>
      </c>
      <c r="FC274" s="10501"/>
      <c r="FD274" s="10501"/>
    </row>
    <row r="275" spans="1:160" s="15497" customFormat="1" ht="21" customHeight="1">
      <c r="A275" s="10490"/>
      <c r="B275" s="10490"/>
      <c r="C275" s="10490"/>
      <c r="D275" s="10490"/>
      <c r="E275" s="16125"/>
      <c r="F275" s="16125"/>
      <c r="G275" s="16125">
        <v>1</v>
      </c>
      <c r="H275" s="16124"/>
      <c r="I275" s="10490"/>
      <c r="J275" s="10490"/>
      <c r="K275" s="10490"/>
      <c r="L275" s="10491"/>
      <c r="M275" s="10492"/>
      <c r="N275" s="10492"/>
      <c r="O275" s="10772"/>
      <c r="P275" s="10494"/>
      <c r="Q275" s="10773"/>
      <c r="R275" s="10495"/>
      <c r="S275" s="11151"/>
      <c r="T275" s="11152" t="s">
        <v>623</v>
      </c>
      <c r="U275" s="11153"/>
      <c r="V275" s="11154"/>
      <c r="W275" s="11155"/>
      <c r="X275" s="11156"/>
      <c r="Y275" s="11157"/>
      <c r="Z275" s="11158"/>
      <c r="AA275" s="11159"/>
      <c r="AB275" s="11160"/>
      <c r="AC275" s="11161"/>
      <c r="AD275" s="11162"/>
      <c r="AE275" s="11163"/>
      <c r="AF275" s="11164"/>
      <c r="AG275" s="11165"/>
      <c r="AH275" s="11166"/>
      <c r="AI275" s="11167"/>
      <c r="AJ275" s="11168"/>
      <c r="AK275" s="11169"/>
      <c r="AL275" s="11170"/>
      <c r="AM275" s="11171"/>
      <c r="AN275" s="11172"/>
      <c r="AO275" s="11173"/>
      <c r="AP275" s="11174"/>
      <c r="AQ275" s="11175"/>
      <c r="AR275" s="11176"/>
      <c r="AS275" s="11177"/>
      <c r="AT275" s="11178"/>
      <c r="AU275" s="11179"/>
      <c r="AV275" s="11180"/>
      <c r="AW275" s="11181"/>
      <c r="AX275" s="11182"/>
      <c r="AY275" s="11183"/>
      <c r="AZ275" s="11184"/>
      <c r="BA275" s="11185"/>
      <c r="BB275" s="11186"/>
      <c r="BC275" s="11187"/>
      <c r="BD275" s="11188"/>
      <c r="BE275" s="11189"/>
      <c r="BF275" s="11190"/>
      <c r="BG275" s="11191"/>
      <c r="BH275" s="11192"/>
      <c r="BI275" s="11193"/>
      <c r="BJ275" s="11194"/>
      <c r="BK275" s="11195"/>
      <c r="BL275" s="11196"/>
      <c r="BM275" s="11197"/>
      <c r="BN275" s="11198"/>
      <c r="BO275" s="11199"/>
      <c r="BP275" s="11200"/>
      <c r="BQ275" s="11201"/>
      <c r="BR275" s="11202"/>
      <c r="BS275" s="11203"/>
      <c r="BT275" s="11204"/>
      <c r="BU275" s="11205"/>
      <c r="BV275" s="11206"/>
      <c r="BW275" s="11207"/>
      <c r="BX275" s="11208"/>
      <c r="BY275" s="11209"/>
      <c r="BZ275" s="11210"/>
      <c r="CA275" s="11211"/>
      <c r="CB275" s="11212"/>
      <c r="CC275" s="11213"/>
      <c r="CD275" s="11214"/>
      <c r="CE275" s="11215"/>
      <c r="CF275" s="11216"/>
      <c r="CG275" s="11217"/>
      <c r="CH275" s="11218"/>
      <c r="CI275" s="11219"/>
      <c r="CJ275" s="11220"/>
      <c r="CK275" s="11221"/>
      <c r="CL275" s="11222"/>
      <c r="CM275" s="11223"/>
      <c r="CN275" s="11224"/>
      <c r="CO275" s="11225"/>
      <c r="CP275" s="11226"/>
      <c r="CQ275" s="11227"/>
      <c r="CR275" s="11228"/>
      <c r="CS275" s="11229"/>
      <c r="CT275" s="11230"/>
      <c r="CU275" s="11231"/>
      <c r="CV275" s="11232"/>
      <c r="CW275" s="11233"/>
      <c r="CX275" s="11234"/>
      <c r="CY275" s="11235"/>
      <c r="CZ275" s="11236"/>
      <c r="DA275" s="11237"/>
      <c r="DB275" s="11238"/>
      <c r="DC275" s="11239"/>
      <c r="DD275" s="11240"/>
      <c r="DE275" s="11241"/>
      <c r="DF275" s="11242"/>
      <c r="DG275" s="11243"/>
      <c r="DH275" s="11244"/>
      <c r="DI275" s="11245"/>
      <c r="DJ275" s="11246"/>
      <c r="DK275" s="11247"/>
      <c r="DL275" s="11248"/>
      <c r="DM275" s="11249"/>
      <c r="DN275" s="11250"/>
      <c r="DO275" s="11251"/>
      <c r="DP275" s="11252"/>
      <c r="DQ275" s="11253"/>
      <c r="DR275" s="11254"/>
      <c r="DS275" s="11255"/>
      <c r="DT275" s="11256"/>
      <c r="DU275" s="11257"/>
      <c r="DV275" s="11258"/>
      <c r="DW275" s="11259"/>
      <c r="DX275" s="11260"/>
      <c r="DY275" s="11261"/>
      <c r="DZ275" s="11262"/>
      <c r="EA275" s="11263"/>
      <c r="EB275" s="11264"/>
      <c r="EC275" s="11265"/>
      <c r="ED275" s="11266"/>
      <c r="EE275" s="11267"/>
      <c r="EF275" s="11268"/>
      <c r="EG275" s="11269"/>
      <c r="EH275" s="11270"/>
      <c r="EI275" s="11271"/>
      <c r="EJ275" s="11272"/>
      <c r="EK275" s="11273"/>
      <c r="EL275" s="11274"/>
      <c r="EM275" s="15498"/>
      <c r="EN275" s="15499"/>
      <c r="EO275" s="15500"/>
      <c r="EP275" s="15501"/>
      <c r="EQ275" s="15502"/>
      <c r="ER275" s="15503"/>
      <c r="ES275" s="15504"/>
      <c r="ET275" s="15505"/>
      <c r="EU275" s="15506"/>
      <c r="EV275" s="15507"/>
      <c r="EW275" s="15508"/>
      <c r="EX275" s="11275"/>
      <c r="EY275" s="11276"/>
      <c r="EZ275" s="10500"/>
      <c r="FA275" s="10501"/>
      <c r="FB275" s="10501" t="str">
        <f t="shared" si="4"/>
        <v>Добавить наименование признака дифференциации</v>
      </c>
      <c r="FC275" s="10501"/>
      <c r="FD275" s="10501"/>
    </row>
    <row r="276" spans="1:160" s="15509" customFormat="1" ht="14.25" customHeight="1">
      <c r="A276" s="11277"/>
      <c r="B276" s="11277"/>
      <c r="C276" s="11277"/>
      <c r="D276" s="11277"/>
      <c r="E276" s="16125" t="s">
        <v>102</v>
      </c>
      <c r="F276" s="16124"/>
      <c r="G276" s="11277"/>
      <c r="H276" s="11277"/>
      <c r="I276" s="11277"/>
      <c r="J276" s="11277"/>
      <c r="K276" s="11277"/>
      <c r="L276" s="11278"/>
      <c r="M276" s="11279"/>
      <c r="N276" s="11279"/>
      <c r="O276" s="10500"/>
      <c r="P276" s="11280"/>
      <c r="Q276" s="11281"/>
      <c r="R276" s="11280"/>
      <c r="S276" s="11282"/>
      <c r="T276" s="11283" t="s">
        <v>290</v>
      </c>
      <c r="U276" s="11284"/>
      <c r="V276" s="11284"/>
      <c r="W276" s="11284"/>
      <c r="X276" s="11284"/>
      <c r="Y276" s="11284"/>
      <c r="Z276" s="11284"/>
      <c r="AA276" s="11284"/>
      <c r="AB276" s="11284"/>
      <c r="AC276" s="11284"/>
      <c r="AD276" s="11284"/>
      <c r="AE276" s="11284"/>
      <c r="AF276" s="11284"/>
      <c r="AG276" s="11284"/>
      <c r="AH276" s="11284"/>
      <c r="AI276" s="11284"/>
      <c r="AJ276" s="11284"/>
      <c r="AK276" s="11284"/>
      <c r="AL276" s="11284"/>
      <c r="AM276" s="11284"/>
      <c r="AN276" s="11284"/>
      <c r="AO276" s="11284"/>
      <c r="AP276" s="11284"/>
      <c r="AQ276" s="11284"/>
      <c r="AR276" s="11284"/>
      <c r="AS276" s="11284"/>
      <c r="AT276" s="11284"/>
      <c r="AU276" s="11284"/>
      <c r="AV276" s="11284"/>
      <c r="AW276" s="11284"/>
      <c r="AX276" s="11284"/>
      <c r="AY276" s="11284"/>
      <c r="AZ276" s="11284"/>
      <c r="BA276" s="11284"/>
      <c r="BB276" s="11284"/>
      <c r="BC276" s="11284"/>
      <c r="BD276" s="11284"/>
      <c r="BE276" s="11284"/>
      <c r="BF276" s="11284"/>
      <c r="BG276" s="11284"/>
      <c r="BH276" s="11284"/>
      <c r="BI276" s="11284"/>
      <c r="BJ276" s="11284"/>
      <c r="BK276" s="11284"/>
      <c r="BL276" s="11284"/>
      <c r="BM276" s="11284"/>
      <c r="BN276" s="11284"/>
      <c r="BO276" s="11284"/>
      <c r="BP276" s="11284"/>
      <c r="BQ276" s="11284"/>
      <c r="BR276" s="11284"/>
      <c r="BS276" s="11284"/>
      <c r="BT276" s="11284"/>
      <c r="BU276" s="11284"/>
      <c r="BV276" s="11284"/>
      <c r="BW276" s="11284"/>
      <c r="BX276" s="11284"/>
      <c r="BY276" s="11284"/>
      <c r="BZ276" s="11284"/>
      <c r="CA276" s="11284"/>
      <c r="CB276" s="11284"/>
      <c r="CC276" s="11284"/>
      <c r="CD276" s="11284"/>
      <c r="CE276" s="11284"/>
      <c r="CF276" s="11284"/>
      <c r="CG276" s="11284"/>
      <c r="CH276" s="11284"/>
      <c r="CI276" s="11284"/>
      <c r="CJ276" s="11284"/>
      <c r="CK276" s="11284"/>
      <c r="CL276" s="11284"/>
      <c r="CM276" s="11284"/>
      <c r="CN276" s="11284"/>
      <c r="CO276" s="11284"/>
      <c r="CP276" s="11284"/>
      <c r="CQ276" s="11284"/>
      <c r="CR276" s="11284"/>
      <c r="CS276" s="11284"/>
      <c r="CT276" s="11284"/>
      <c r="CU276" s="11284"/>
      <c r="CV276" s="11284"/>
      <c r="CW276" s="11284"/>
      <c r="CX276" s="11284"/>
      <c r="CY276" s="11284"/>
      <c r="CZ276" s="11284"/>
      <c r="DA276" s="11284"/>
      <c r="DB276" s="11284"/>
      <c r="DC276" s="11284"/>
      <c r="DD276" s="11284"/>
      <c r="DE276" s="11284"/>
      <c r="DF276" s="11284"/>
      <c r="DG276" s="11284"/>
      <c r="DH276" s="11284"/>
      <c r="DI276" s="11284"/>
      <c r="DJ276" s="11284"/>
      <c r="DK276" s="11284"/>
      <c r="DL276" s="11284"/>
      <c r="DM276" s="11284"/>
      <c r="DN276" s="11284"/>
      <c r="DO276" s="11284"/>
      <c r="DP276" s="11284"/>
      <c r="DQ276" s="11284"/>
      <c r="DR276" s="11284"/>
      <c r="DS276" s="11284"/>
      <c r="DT276" s="11284"/>
      <c r="DU276" s="11284"/>
      <c r="DV276" s="11284"/>
      <c r="DW276" s="11284"/>
      <c r="DX276" s="11284"/>
      <c r="DY276" s="11284"/>
      <c r="DZ276" s="11284"/>
      <c r="EA276" s="11284"/>
      <c r="EB276" s="11284"/>
      <c r="EC276" s="11284"/>
      <c r="ED276" s="11284"/>
      <c r="EE276" s="11284"/>
      <c r="EF276" s="11284"/>
      <c r="EG276" s="11284"/>
      <c r="EH276" s="11284"/>
      <c r="EI276" s="11284"/>
      <c r="EJ276" s="11284"/>
      <c r="EK276" s="11284"/>
      <c r="EL276" s="11285"/>
      <c r="EM276" s="14483"/>
      <c r="EN276" s="14483"/>
      <c r="EO276" s="14483"/>
      <c r="EP276" s="14483"/>
      <c r="EQ276" s="14483"/>
      <c r="ER276" s="14483"/>
      <c r="ES276" s="14483"/>
      <c r="ET276" s="14483"/>
      <c r="EU276" s="14483"/>
      <c r="EV276" s="14483"/>
      <c r="EW276" s="14483"/>
      <c r="EX276" s="11284"/>
      <c r="EY276" s="11284"/>
      <c r="EZ276" s="10500"/>
      <c r="FA276" s="10501"/>
      <c r="FB276" s="10501" t="str">
        <f t="shared" si="4"/>
        <v>Добавить централизованную систему для дифференциации</v>
      </c>
      <c r="FC276" s="10501"/>
      <c r="FD276" s="10501"/>
    </row>
    <row r="277" spans="1:160" s="15510" customFormat="1" ht="23.25" customHeight="1">
      <c r="A277" s="10490"/>
      <c r="B277" s="10490" t="s">
        <v>366</v>
      </c>
      <c r="C277" s="10490"/>
      <c r="D277" s="10490"/>
      <c r="E277" s="16125"/>
      <c r="F277" s="16124" t="s">
        <v>102</v>
      </c>
      <c r="G277" s="10490"/>
      <c r="H277" s="10490"/>
      <c r="I277" s="10490"/>
      <c r="J277" s="10490"/>
      <c r="K277" s="10490"/>
      <c r="L277" s="10491"/>
      <c r="M277" s="10492"/>
      <c r="N277" s="10492"/>
      <c r="O277" s="10492"/>
      <c r="P277" s="10502"/>
      <c r="Q277" s="10503"/>
      <c r="R277" s="10504"/>
      <c r="S277" s="10496" t="str">
        <f>INDEX(PT_DIFFERENTIATION_NUM_TER,MATCH(B277,PT_DIFFERENTIATION_TER_ID,0))</f>
        <v>3.2</v>
      </c>
      <c r="T277" s="10505" t="s">
        <v>534</v>
      </c>
      <c r="U277" s="10498"/>
      <c r="V277" s="16110"/>
      <c r="W277" s="16111"/>
      <c r="X277" s="16111"/>
      <c r="Y277" s="16111"/>
      <c r="Z277" s="16111"/>
      <c r="AA277" s="16111"/>
      <c r="AB277" s="16111"/>
      <c r="AC277" s="16111"/>
      <c r="AD277" s="16111"/>
      <c r="AE277" s="16111"/>
      <c r="AF277" s="16112"/>
      <c r="AG277" s="16110" t="str">
        <f>INDEX(PT_DIFFERENTIATION_TER,MATCH(B277,PT_DIFFERENTIATION_TER_ID,0))</f>
        <v>Территория 2</v>
      </c>
      <c r="AH277" s="16111"/>
      <c r="AI277" s="16111"/>
      <c r="AJ277" s="16111"/>
      <c r="AK277" s="16111"/>
      <c r="AL277" s="16111"/>
      <c r="AM277" s="16111"/>
      <c r="AN277" s="16111"/>
      <c r="AO277" s="16111"/>
      <c r="AP277" s="16111"/>
      <c r="AQ277" s="16111"/>
      <c r="AR277" s="16110"/>
      <c r="AS277" s="16111"/>
      <c r="AT277" s="16111"/>
      <c r="AU277" s="16111"/>
      <c r="AV277" s="16111"/>
      <c r="AW277" s="16111"/>
      <c r="AX277" s="16111"/>
      <c r="AY277" s="16111"/>
      <c r="AZ277" s="16111"/>
      <c r="BA277" s="16111"/>
      <c r="BB277" s="16112"/>
      <c r="BC277" s="16110"/>
      <c r="BD277" s="16111"/>
      <c r="BE277" s="16111"/>
      <c r="BF277" s="16111"/>
      <c r="BG277" s="16111"/>
      <c r="BH277" s="16111"/>
      <c r="BI277" s="16111"/>
      <c r="BJ277" s="16111"/>
      <c r="BK277" s="16111"/>
      <c r="BL277" s="16111"/>
      <c r="BM277" s="16112"/>
      <c r="BN277" s="16110"/>
      <c r="BO277" s="16111"/>
      <c r="BP277" s="16111"/>
      <c r="BQ277" s="16111"/>
      <c r="BR277" s="16111"/>
      <c r="BS277" s="16111"/>
      <c r="BT277" s="16111"/>
      <c r="BU277" s="16111"/>
      <c r="BV277" s="16111"/>
      <c r="BW277" s="16111"/>
      <c r="BX277" s="16112"/>
      <c r="BY277" s="16110"/>
      <c r="BZ277" s="16111"/>
      <c r="CA277" s="16111"/>
      <c r="CB277" s="16111"/>
      <c r="CC277" s="16111"/>
      <c r="CD277" s="16111"/>
      <c r="CE277" s="16111"/>
      <c r="CF277" s="16111"/>
      <c r="CG277" s="16111"/>
      <c r="CH277" s="16111"/>
      <c r="CI277" s="16112"/>
      <c r="CJ277" s="16110"/>
      <c r="CK277" s="16111"/>
      <c r="CL277" s="16111"/>
      <c r="CM277" s="16111"/>
      <c r="CN277" s="16111"/>
      <c r="CO277" s="16111"/>
      <c r="CP277" s="16111"/>
      <c r="CQ277" s="16111"/>
      <c r="CR277" s="16111"/>
      <c r="CS277" s="16111"/>
      <c r="CT277" s="16112"/>
      <c r="CU277" s="16110"/>
      <c r="CV277" s="16111"/>
      <c r="CW277" s="16111"/>
      <c r="CX277" s="16111"/>
      <c r="CY277" s="16111"/>
      <c r="CZ277" s="16111"/>
      <c r="DA277" s="16111"/>
      <c r="DB277" s="16111"/>
      <c r="DC277" s="16111"/>
      <c r="DD277" s="16111"/>
      <c r="DE277" s="16112"/>
      <c r="DF277" s="16110"/>
      <c r="DG277" s="16111"/>
      <c r="DH277" s="16111"/>
      <c r="DI277" s="16111"/>
      <c r="DJ277" s="16111"/>
      <c r="DK277" s="16111"/>
      <c r="DL277" s="16111"/>
      <c r="DM277" s="16111"/>
      <c r="DN277" s="16111"/>
      <c r="DO277" s="16111"/>
      <c r="DP277" s="16112"/>
      <c r="DQ277" s="16110"/>
      <c r="DR277" s="16111"/>
      <c r="DS277" s="16111"/>
      <c r="DT277" s="16111"/>
      <c r="DU277" s="16111"/>
      <c r="DV277" s="16111"/>
      <c r="DW277" s="16111"/>
      <c r="DX277" s="16111"/>
      <c r="DY277" s="16111"/>
      <c r="DZ277" s="16111"/>
      <c r="EA277" s="16112"/>
      <c r="EB277" s="16110"/>
      <c r="EC277" s="16111"/>
      <c r="ED277" s="16111"/>
      <c r="EE277" s="16111"/>
      <c r="EF277" s="16111"/>
      <c r="EG277" s="16111"/>
      <c r="EH277" s="16111"/>
      <c r="EI277" s="16111"/>
      <c r="EJ277" s="16111"/>
      <c r="EK277" s="16111"/>
      <c r="EL277" s="16199"/>
      <c r="EM277" s="16110"/>
      <c r="EN277" s="16111"/>
      <c r="EO277" s="16111"/>
      <c r="EP277" s="16111"/>
      <c r="EQ277" s="16111"/>
      <c r="ER277" s="16111"/>
      <c r="ES277" s="16111"/>
      <c r="ET277" s="16111"/>
      <c r="EU277" s="16111"/>
      <c r="EV277" s="16111"/>
      <c r="EW277" s="16112"/>
      <c r="EX277" s="16112"/>
      <c r="EY277" s="10499" t="s">
        <v>535</v>
      </c>
      <c r="EZ277" s="10500"/>
      <c r="FA277" s="10501"/>
      <c r="FB277" s="10501" t="str">
        <f t="shared" si="4"/>
        <v>Территория действия тарифа</v>
      </c>
      <c r="FC277" s="10501"/>
      <c r="FD277" s="10501"/>
    </row>
    <row r="278" spans="1:160" s="15511" customFormat="1" ht="23.25" customHeight="1">
      <c r="A278" s="10490"/>
      <c r="B278" s="10490"/>
      <c r="C278" s="10490" t="s">
        <v>367</v>
      </c>
      <c r="D278" s="10490"/>
      <c r="E278" s="16125"/>
      <c r="F278" s="16125">
        <v>1</v>
      </c>
      <c r="G278" s="16124">
        <v>1</v>
      </c>
      <c r="H278" s="10490"/>
      <c r="I278" s="10490"/>
      <c r="J278" s="10490"/>
      <c r="K278" s="10490"/>
      <c r="L278" s="10491"/>
      <c r="M278" s="10492"/>
      <c r="N278" s="10492"/>
      <c r="O278" s="10492"/>
      <c r="P278" s="10506"/>
      <c r="Q278" s="10503"/>
      <c r="R278" s="10504"/>
      <c r="S278" s="10496" t="str">
        <f>INDEX(PT_DIFFERENTIATION_NUM_CS,MATCH(C278,PT_DIFFERENTIATION_CS_ID,0))</f>
        <v>3.2.1</v>
      </c>
      <c r="T278" s="10507" t="s">
        <v>665</v>
      </c>
      <c r="U278" s="10498"/>
      <c r="V278" s="16110"/>
      <c r="W278" s="16111"/>
      <c r="X278" s="16111"/>
      <c r="Y278" s="16111"/>
      <c r="Z278" s="16111"/>
      <c r="AA278" s="16111"/>
      <c r="AB278" s="16111"/>
      <c r="AC278" s="16111"/>
      <c r="AD278" s="16111"/>
      <c r="AE278" s="16111"/>
      <c r="AF278" s="16112"/>
      <c r="AG278" s="16110" t="str">
        <f>INDEX(PT_DIFFERENTIATION_CS,MATCH(C278,PT_DIFFERENTIATION_CS_ID,0))</f>
        <v>без дифференциации</v>
      </c>
      <c r="AH278" s="16111"/>
      <c r="AI278" s="16111"/>
      <c r="AJ278" s="16111"/>
      <c r="AK278" s="16111"/>
      <c r="AL278" s="16111"/>
      <c r="AM278" s="16111"/>
      <c r="AN278" s="16111"/>
      <c r="AO278" s="16111"/>
      <c r="AP278" s="16111"/>
      <c r="AQ278" s="16111"/>
      <c r="AR278" s="16110"/>
      <c r="AS278" s="16111"/>
      <c r="AT278" s="16111"/>
      <c r="AU278" s="16111"/>
      <c r="AV278" s="16111"/>
      <c r="AW278" s="16111"/>
      <c r="AX278" s="16111"/>
      <c r="AY278" s="16111"/>
      <c r="AZ278" s="16111"/>
      <c r="BA278" s="16111"/>
      <c r="BB278" s="16112"/>
      <c r="BC278" s="16110"/>
      <c r="BD278" s="16111"/>
      <c r="BE278" s="16111"/>
      <c r="BF278" s="16111"/>
      <c r="BG278" s="16111"/>
      <c r="BH278" s="16111"/>
      <c r="BI278" s="16111"/>
      <c r="BJ278" s="16111"/>
      <c r="BK278" s="16111"/>
      <c r="BL278" s="16111"/>
      <c r="BM278" s="16112"/>
      <c r="BN278" s="16110"/>
      <c r="BO278" s="16111"/>
      <c r="BP278" s="16111"/>
      <c r="BQ278" s="16111"/>
      <c r="BR278" s="16111"/>
      <c r="BS278" s="16111"/>
      <c r="BT278" s="16111"/>
      <c r="BU278" s="16111"/>
      <c r="BV278" s="16111"/>
      <c r="BW278" s="16111"/>
      <c r="BX278" s="16112"/>
      <c r="BY278" s="16110"/>
      <c r="BZ278" s="16111"/>
      <c r="CA278" s="16111"/>
      <c r="CB278" s="16111"/>
      <c r="CC278" s="16111"/>
      <c r="CD278" s="16111"/>
      <c r="CE278" s="16111"/>
      <c r="CF278" s="16111"/>
      <c r="CG278" s="16111"/>
      <c r="CH278" s="16111"/>
      <c r="CI278" s="16112"/>
      <c r="CJ278" s="16110"/>
      <c r="CK278" s="16111"/>
      <c r="CL278" s="16111"/>
      <c r="CM278" s="16111"/>
      <c r="CN278" s="16111"/>
      <c r="CO278" s="16111"/>
      <c r="CP278" s="16111"/>
      <c r="CQ278" s="16111"/>
      <c r="CR278" s="16111"/>
      <c r="CS278" s="16111"/>
      <c r="CT278" s="16112"/>
      <c r="CU278" s="16110"/>
      <c r="CV278" s="16111"/>
      <c r="CW278" s="16111"/>
      <c r="CX278" s="16111"/>
      <c r="CY278" s="16111"/>
      <c r="CZ278" s="16111"/>
      <c r="DA278" s="16111"/>
      <c r="DB278" s="16111"/>
      <c r="DC278" s="16111"/>
      <c r="DD278" s="16111"/>
      <c r="DE278" s="16112"/>
      <c r="DF278" s="16110"/>
      <c r="DG278" s="16111"/>
      <c r="DH278" s="16111"/>
      <c r="DI278" s="16111"/>
      <c r="DJ278" s="16111"/>
      <c r="DK278" s="16111"/>
      <c r="DL278" s="16111"/>
      <c r="DM278" s="16111"/>
      <c r="DN278" s="16111"/>
      <c r="DO278" s="16111"/>
      <c r="DP278" s="16112"/>
      <c r="DQ278" s="16110"/>
      <c r="DR278" s="16111"/>
      <c r="DS278" s="16111"/>
      <c r="DT278" s="16111"/>
      <c r="DU278" s="16111"/>
      <c r="DV278" s="16111"/>
      <c r="DW278" s="16111"/>
      <c r="DX278" s="16111"/>
      <c r="DY278" s="16111"/>
      <c r="DZ278" s="16111"/>
      <c r="EA278" s="16112"/>
      <c r="EB278" s="16110"/>
      <c r="EC278" s="16111"/>
      <c r="ED278" s="16111"/>
      <c r="EE278" s="16111"/>
      <c r="EF278" s="16111"/>
      <c r="EG278" s="16111"/>
      <c r="EH278" s="16111"/>
      <c r="EI278" s="16111"/>
      <c r="EJ278" s="16111"/>
      <c r="EK278" s="16111"/>
      <c r="EL278" s="16199"/>
      <c r="EM278" s="16110"/>
      <c r="EN278" s="16111"/>
      <c r="EO278" s="16111"/>
      <c r="EP278" s="16111"/>
      <c r="EQ278" s="16111"/>
      <c r="ER278" s="16111"/>
      <c r="ES278" s="16111"/>
      <c r="ET278" s="16111"/>
      <c r="EU278" s="16111"/>
      <c r="EV278" s="16111"/>
      <c r="EW278" s="16112"/>
      <c r="EX278" s="16112"/>
      <c r="EY278" s="10499" t="s">
        <v>666</v>
      </c>
      <c r="EZ278" s="10500"/>
      <c r="FA278" s="10501"/>
      <c r="FB278" s="10501" t="str">
        <f t="shared" si="4"/>
        <v>Наименование централизованной системы горячего водоснабжения</v>
      </c>
      <c r="FC278" s="10501"/>
      <c r="FD278" s="10501"/>
    </row>
    <row r="279" spans="1:160" s="15512" customFormat="1" ht="23.25" customHeight="1">
      <c r="A279" s="10490"/>
      <c r="B279" s="10490"/>
      <c r="C279" s="10490"/>
      <c r="D279" s="10490"/>
      <c r="E279" s="16125"/>
      <c r="F279" s="16125">
        <v>1</v>
      </c>
      <c r="G279" s="16125"/>
      <c r="H279" s="16125"/>
      <c r="I279" s="16122" t="str">
        <f>S278&amp;".1"</f>
        <v>3.2.1.1</v>
      </c>
      <c r="J279" s="10490"/>
      <c r="K279" s="10490"/>
      <c r="L279" s="10491"/>
      <c r="M279" s="10508"/>
      <c r="N279" s="10508"/>
      <c r="O279" s="10508"/>
      <c r="P279" s="16123">
        <v>1</v>
      </c>
      <c r="Q279" s="10509"/>
      <c r="R279" s="10510"/>
      <c r="S279" s="10496" t="str">
        <f>$I279</f>
        <v>3.2.1.1</v>
      </c>
      <c r="T279" s="10511" t="s">
        <v>618</v>
      </c>
      <c r="U279" s="10498"/>
      <c r="V279" s="16183"/>
      <c r="W279" s="16184"/>
      <c r="X279" s="16184"/>
      <c r="Y279" s="16184"/>
      <c r="Z279" s="16184"/>
      <c r="AA279" s="16184"/>
      <c r="AB279" s="16184"/>
      <c r="AC279" s="16184"/>
      <c r="AD279" s="16184"/>
      <c r="AE279" s="16184"/>
      <c r="AF279" s="16185"/>
      <c r="AG279" s="16186"/>
      <c r="AH279" s="16187"/>
      <c r="AI279" s="16187"/>
      <c r="AJ279" s="16187"/>
      <c r="AK279" s="16187"/>
      <c r="AL279" s="16187"/>
      <c r="AM279" s="16187"/>
      <c r="AN279" s="16187"/>
      <c r="AO279" s="16187"/>
      <c r="AP279" s="16187"/>
      <c r="AQ279" s="16187"/>
      <c r="AR279" s="16183"/>
      <c r="AS279" s="16184"/>
      <c r="AT279" s="16184"/>
      <c r="AU279" s="16184"/>
      <c r="AV279" s="16184"/>
      <c r="AW279" s="16184"/>
      <c r="AX279" s="16184"/>
      <c r="AY279" s="16184"/>
      <c r="AZ279" s="16184"/>
      <c r="BA279" s="16184"/>
      <c r="BB279" s="16185"/>
      <c r="BC279" s="16183"/>
      <c r="BD279" s="16184"/>
      <c r="BE279" s="16184"/>
      <c r="BF279" s="16184"/>
      <c r="BG279" s="16184"/>
      <c r="BH279" s="16184"/>
      <c r="BI279" s="16184"/>
      <c r="BJ279" s="16184"/>
      <c r="BK279" s="16184"/>
      <c r="BL279" s="16184"/>
      <c r="BM279" s="16185"/>
      <c r="BN279" s="16183"/>
      <c r="BO279" s="16184"/>
      <c r="BP279" s="16184"/>
      <c r="BQ279" s="16184"/>
      <c r="BR279" s="16184"/>
      <c r="BS279" s="16184"/>
      <c r="BT279" s="16184"/>
      <c r="BU279" s="16184"/>
      <c r="BV279" s="16184"/>
      <c r="BW279" s="16184"/>
      <c r="BX279" s="16185"/>
      <c r="BY279" s="16183"/>
      <c r="BZ279" s="16184"/>
      <c r="CA279" s="16184"/>
      <c r="CB279" s="16184"/>
      <c r="CC279" s="16184"/>
      <c r="CD279" s="16184"/>
      <c r="CE279" s="16184"/>
      <c r="CF279" s="16184"/>
      <c r="CG279" s="16184"/>
      <c r="CH279" s="16184"/>
      <c r="CI279" s="16185"/>
      <c r="CJ279" s="16183"/>
      <c r="CK279" s="16184"/>
      <c r="CL279" s="16184"/>
      <c r="CM279" s="16184"/>
      <c r="CN279" s="16184"/>
      <c r="CO279" s="16184"/>
      <c r="CP279" s="16184"/>
      <c r="CQ279" s="16184"/>
      <c r="CR279" s="16184"/>
      <c r="CS279" s="16184"/>
      <c r="CT279" s="16185"/>
      <c r="CU279" s="16183"/>
      <c r="CV279" s="16184"/>
      <c r="CW279" s="16184"/>
      <c r="CX279" s="16184"/>
      <c r="CY279" s="16184"/>
      <c r="CZ279" s="16184"/>
      <c r="DA279" s="16184"/>
      <c r="DB279" s="16184"/>
      <c r="DC279" s="16184"/>
      <c r="DD279" s="16184"/>
      <c r="DE279" s="16185"/>
      <c r="DF279" s="16183"/>
      <c r="DG279" s="16184"/>
      <c r="DH279" s="16184"/>
      <c r="DI279" s="16184"/>
      <c r="DJ279" s="16184"/>
      <c r="DK279" s="16184"/>
      <c r="DL279" s="16184"/>
      <c r="DM279" s="16184"/>
      <c r="DN279" s="16184"/>
      <c r="DO279" s="16184"/>
      <c r="DP279" s="16185"/>
      <c r="DQ279" s="16183"/>
      <c r="DR279" s="16184"/>
      <c r="DS279" s="16184"/>
      <c r="DT279" s="16184"/>
      <c r="DU279" s="16184"/>
      <c r="DV279" s="16184"/>
      <c r="DW279" s="16184"/>
      <c r="DX279" s="16184"/>
      <c r="DY279" s="16184"/>
      <c r="DZ279" s="16184"/>
      <c r="EA279" s="16185"/>
      <c r="EB279" s="16183"/>
      <c r="EC279" s="16184"/>
      <c r="ED279" s="16184"/>
      <c r="EE279" s="16184"/>
      <c r="EF279" s="16184"/>
      <c r="EG279" s="16184"/>
      <c r="EH279" s="16184"/>
      <c r="EI279" s="16184"/>
      <c r="EJ279" s="16184"/>
      <c r="EK279" s="16184"/>
      <c r="EL279" s="16200"/>
      <c r="EM279" s="16183"/>
      <c r="EN279" s="16184"/>
      <c r="EO279" s="16184"/>
      <c r="EP279" s="16184"/>
      <c r="EQ279" s="16184"/>
      <c r="ER279" s="16184"/>
      <c r="ES279" s="16184"/>
      <c r="ET279" s="16184"/>
      <c r="EU279" s="16184"/>
      <c r="EV279" s="16184"/>
      <c r="EW279" s="16185"/>
      <c r="EX279" s="16188"/>
      <c r="EY279" s="10499" t="s">
        <v>619</v>
      </c>
      <c r="EZ279" s="10500"/>
      <c r="FA279" s="10501"/>
      <c r="FB279" s="10501" t="str">
        <f t="shared" si="4"/>
        <v>Наименование признака дифференциации</v>
      </c>
      <c r="FC279" s="10501"/>
      <c r="FD279" s="10501"/>
    </row>
    <row r="280" spans="1:160" s="15513" customFormat="1" ht="23.25" customHeight="1">
      <c r="A280" s="10490"/>
      <c r="B280" s="10490"/>
      <c r="C280" s="10490"/>
      <c r="D280" s="10490"/>
      <c r="E280" s="16125"/>
      <c r="F280" s="16125">
        <v>1</v>
      </c>
      <c r="G280" s="16125"/>
      <c r="H280" s="16125"/>
      <c r="I280" s="16145"/>
      <c r="J280" s="16122" t="str">
        <f>I279&amp;".1"</f>
        <v>3.2.1.1.1</v>
      </c>
      <c r="K280" s="10490"/>
      <c r="L280" s="10491" t="s">
        <v>543</v>
      </c>
      <c r="M280" s="10508"/>
      <c r="N280" s="10508"/>
      <c r="O280" s="10508"/>
      <c r="P280" s="16123"/>
      <c r="Q280" s="16123">
        <v>1</v>
      </c>
      <c r="R280" s="10512"/>
      <c r="S280" s="10496" t="str">
        <f>$J280</f>
        <v>3.2.1.1.1</v>
      </c>
      <c r="T280" s="10513" t="s">
        <v>544</v>
      </c>
      <c r="U280" s="10498"/>
      <c r="V280" s="16113"/>
      <c r="W280" s="16114"/>
      <c r="X280" s="16114"/>
      <c r="Y280" s="16114"/>
      <c r="Z280" s="16114"/>
      <c r="AA280" s="16114"/>
      <c r="AB280" s="16114"/>
      <c r="AC280" s="16114"/>
      <c r="AD280" s="16114"/>
      <c r="AE280" s="16114"/>
      <c r="AF280" s="16115"/>
      <c r="AG280" s="16113" t="s">
        <v>679</v>
      </c>
      <c r="AH280" s="16114"/>
      <c r="AI280" s="16114"/>
      <c r="AJ280" s="16114"/>
      <c r="AK280" s="16114"/>
      <c r="AL280" s="16114"/>
      <c r="AM280" s="16114"/>
      <c r="AN280" s="16114"/>
      <c r="AO280" s="16114"/>
      <c r="AP280" s="16114"/>
      <c r="AQ280" s="16114"/>
      <c r="AR280" s="16113"/>
      <c r="AS280" s="16114"/>
      <c r="AT280" s="16114"/>
      <c r="AU280" s="16114"/>
      <c r="AV280" s="16114"/>
      <c r="AW280" s="16114"/>
      <c r="AX280" s="16114"/>
      <c r="AY280" s="16114"/>
      <c r="AZ280" s="16114"/>
      <c r="BA280" s="16114"/>
      <c r="BB280" s="16115"/>
      <c r="BC280" s="16113"/>
      <c r="BD280" s="16114"/>
      <c r="BE280" s="16114"/>
      <c r="BF280" s="16114"/>
      <c r="BG280" s="16114"/>
      <c r="BH280" s="16114"/>
      <c r="BI280" s="16114"/>
      <c r="BJ280" s="16114"/>
      <c r="BK280" s="16114"/>
      <c r="BL280" s="16114"/>
      <c r="BM280" s="16115"/>
      <c r="BN280" s="16113"/>
      <c r="BO280" s="16114"/>
      <c r="BP280" s="16114"/>
      <c r="BQ280" s="16114"/>
      <c r="BR280" s="16114"/>
      <c r="BS280" s="16114"/>
      <c r="BT280" s="16114"/>
      <c r="BU280" s="16114"/>
      <c r="BV280" s="16114"/>
      <c r="BW280" s="16114"/>
      <c r="BX280" s="16115"/>
      <c r="BY280" s="16113"/>
      <c r="BZ280" s="16114"/>
      <c r="CA280" s="16114"/>
      <c r="CB280" s="16114"/>
      <c r="CC280" s="16114"/>
      <c r="CD280" s="16114"/>
      <c r="CE280" s="16114"/>
      <c r="CF280" s="16114"/>
      <c r="CG280" s="16114"/>
      <c r="CH280" s="16114"/>
      <c r="CI280" s="16115"/>
      <c r="CJ280" s="16113"/>
      <c r="CK280" s="16114"/>
      <c r="CL280" s="16114"/>
      <c r="CM280" s="16114"/>
      <c r="CN280" s="16114"/>
      <c r="CO280" s="16114"/>
      <c r="CP280" s="16114"/>
      <c r="CQ280" s="16114"/>
      <c r="CR280" s="16114"/>
      <c r="CS280" s="16114"/>
      <c r="CT280" s="16115"/>
      <c r="CU280" s="16113"/>
      <c r="CV280" s="16114"/>
      <c r="CW280" s="16114"/>
      <c r="CX280" s="16114"/>
      <c r="CY280" s="16114"/>
      <c r="CZ280" s="16114"/>
      <c r="DA280" s="16114"/>
      <c r="DB280" s="16114"/>
      <c r="DC280" s="16114"/>
      <c r="DD280" s="16114"/>
      <c r="DE280" s="16115"/>
      <c r="DF280" s="16113"/>
      <c r="DG280" s="16114"/>
      <c r="DH280" s="16114"/>
      <c r="DI280" s="16114"/>
      <c r="DJ280" s="16114"/>
      <c r="DK280" s="16114"/>
      <c r="DL280" s="16114"/>
      <c r="DM280" s="16114"/>
      <c r="DN280" s="16114"/>
      <c r="DO280" s="16114"/>
      <c r="DP280" s="16115"/>
      <c r="DQ280" s="16113"/>
      <c r="DR280" s="16114"/>
      <c r="DS280" s="16114"/>
      <c r="DT280" s="16114"/>
      <c r="DU280" s="16114"/>
      <c r="DV280" s="16114"/>
      <c r="DW280" s="16114"/>
      <c r="DX280" s="16114"/>
      <c r="DY280" s="16114"/>
      <c r="DZ280" s="16114"/>
      <c r="EA280" s="16115"/>
      <c r="EB280" s="16113"/>
      <c r="EC280" s="16114"/>
      <c r="ED280" s="16114"/>
      <c r="EE280" s="16114"/>
      <c r="EF280" s="16114"/>
      <c r="EG280" s="16114"/>
      <c r="EH280" s="16114"/>
      <c r="EI280" s="16114"/>
      <c r="EJ280" s="16114"/>
      <c r="EK280" s="16114"/>
      <c r="EL280" s="16201"/>
      <c r="EM280" s="16113"/>
      <c r="EN280" s="16114"/>
      <c r="EO280" s="16114"/>
      <c r="EP280" s="16114"/>
      <c r="EQ280" s="16114"/>
      <c r="ER280" s="16114"/>
      <c r="ES280" s="16114"/>
      <c r="ET280" s="16114"/>
      <c r="EU280" s="16114"/>
      <c r="EV280" s="16114"/>
      <c r="EW280" s="16115"/>
      <c r="EX280" s="16115"/>
      <c r="EY280" s="10514" t="s">
        <v>620</v>
      </c>
      <c r="EZ280" s="10500"/>
      <c r="FA280" s="10501"/>
      <c r="FB280" s="10501" t="str">
        <f t="shared" si="4"/>
        <v>Группа потребителей</v>
      </c>
      <c r="FC280" s="10501"/>
      <c r="FD280" s="10501"/>
    </row>
    <row r="281" spans="1:160" s="15514" customFormat="1" ht="23.25" customHeight="1">
      <c r="A281" s="10490"/>
      <c r="B281" s="10490"/>
      <c r="C281" s="10490"/>
      <c r="D281" s="10490"/>
      <c r="E281" s="16125"/>
      <c r="F281" s="16125">
        <v>1</v>
      </c>
      <c r="G281" s="16125"/>
      <c r="H281" s="16125"/>
      <c r="I281" s="16145"/>
      <c r="J281" s="16145"/>
      <c r="K281" s="16122" t="str">
        <f>J280&amp;".1"</f>
        <v>3.2.1.1.1.1</v>
      </c>
      <c r="L281" s="10491"/>
      <c r="M281" s="10508"/>
      <c r="N281" s="10508"/>
      <c r="O281" s="10508"/>
      <c r="P281" s="16123"/>
      <c r="Q281" s="16123"/>
      <c r="R281" s="10512">
        <v>1</v>
      </c>
      <c r="S281" s="10496" t="str">
        <f>$K281</f>
        <v>3.2.1.1.1.1</v>
      </c>
      <c r="T281" s="10515"/>
      <c r="U281" s="10498"/>
      <c r="V281" s="10516"/>
      <c r="W281" s="10516"/>
      <c r="X281" s="10516"/>
      <c r="Y281" s="10516"/>
      <c r="Z281" s="10516"/>
      <c r="AA281" s="10516"/>
      <c r="AB281" s="10516"/>
      <c r="AC281" s="16127"/>
      <c r="AD281" s="15973" t="s">
        <v>66</v>
      </c>
      <c r="AE281" s="16127"/>
      <c r="AF281" s="15973" t="s">
        <v>66</v>
      </c>
      <c r="AG281" s="10516">
        <v>35.07</v>
      </c>
      <c r="AH281" s="10516"/>
      <c r="AI281" s="10516"/>
      <c r="AJ281" s="10516"/>
      <c r="AK281" s="10516">
        <v>5211.17</v>
      </c>
      <c r="AL281" s="10516"/>
      <c r="AM281" s="10516"/>
      <c r="AN281" s="16127">
        <v>45292</v>
      </c>
      <c r="AO281" s="15973" t="s">
        <v>66</v>
      </c>
      <c r="AP281" s="16146">
        <v>45378</v>
      </c>
      <c r="AQ281" s="15973" t="s">
        <v>66</v>
      </c>
      <c r="AR281" s="10516">
        <v>35.07</v>
      </c>
      <c r="AS281" s="10516"/>
      <c r="AT281" s="10516"/>
      <c r="AU281" s="10516"/>
      <c r="AV281" s="10516">
        <v>5211.17</v>
      </c>
      <c r="AW281" s="10516"/>
      <c r="AX281" s="10516"/>
      <c r="AY281" s="16127">
        <v>45379</v>
      </c>
      <c r="AZ281" s="15973" t="s">
        <v>66</v>
      </c>
      <c r="BA281" s="16127" t="s">
        <v>680</v>
      </c>
      <c r="BB281" s="15973" t="s">
        <v>66</v>
      </c>
      <c r="BC281" s="10516">
        <v>38.96</v>
      </c>
      <c r="BD281" s="10516"/>
      <c r="BE281" s="10516"/>
      <c r="BF281" s="10516"/>
      <c r="BG281" s="10516">
        <v>5493.65</v>
      </c>
      <c r="BH281" s="10516"/>
      <c r="BI281" s="10516"/>
      <c r="BJ281" s="16127">
        <v>45474</v>
      </c>
      <c r="BK281" s="15973" t="s">
        <v>66</v>
      </c>
      <c r="BL281" s="16127">
        <v>45657</v>
      </c>
      <c r="BM281" s="15973" t="s">
        <v>66</v>
      </c>
      <c r="BN281" s="10516">
        <v>37.31</v>
      </c>
      <c r="BO281" s="10516"/>
      <c r="BP281" s="10516"/>
      <c r="BQ281" s="10516"/>
      <c r="BR281" s="10516">
        <v>5407.73</v>
      </c>
      <c r="BS281" s="10516"/>
      <c r="BT281" s="10516"/>
      <c r="BU281" s="16127">
        <v>45658</v>
      </c>
      <c r="BV281" s="15973" t="s">
        <v>66</v>
      </c>
      <c r="BW281" s="16127">
        <v>45838</v>
      </c>
      <c r="BX281" s="15973" t="s">
        <v>66</v>
      </c>
      <c r="BY281" s="10516">
        <v>37.369999999999997</v>
      </c>
      <c r="BZ281" s="10516"/>
      <c r="CA281" s="10516"/>
      <c r="CB281" s="10516"/>
      <c r="CC281" s="10516">
        <v>5407.73</v>
      </c>
      <c r="CD281" s="10516"/>
      <c r="CE281" s="10516"/>
      <c r="CF281" s="16127">
        <v>45839</v>
      </c>
      <c r="CG281" s="15973" t="s">
        <v>66</v>
      </c>
      <c r="CH281" s="16127">
        <v>46022</v>
      </c>
      <c r="CI281" s="15973" t="s">
        <v>66</v>
      </c>
      <c r="CJ281" s="10516">
        <v>37.369999999999997</v>
      </c>
      <c r="CK281" s="10516"/>
      <c r="CL281" s="10516"/>
      <c r="CM281" s="10516"/>
      <c r="CN281" s="10516">
        <v>5407.73</v>
      </c>
      <c r="CO281" s="10516"/>
      <c r="CP281" s="10516"/>
      <c r="CQ281" s="16127">
        <v>46023</v>
      </c>
      <c r="CR281" s="15973" t="s">
        <v>66</v>
      </c>
      <c r="CS281" s="16127">
        <v>46203</v>
      </c>
      <c r="CT281" s="15973" t="s">
        <v>66</v>
      </c>
      <c r="CU281" s="10516">
        <v>39.51</v>
      </c>
      <c r="CV281" s="10516"/>
      <c r="CW281" s="10516"/>
      <c r="CX281" s="10516"/>
      <c r="CY281" s="10516">
        <v>5624.04</v>
      </c>
      <c r="CZ281" s="10516"/>
      <c r="DA281" s="10516"/>
      <c r="DB281" s="16127">
        <v>46204</v>
      </c>
      <c r="DC281" s="15973" t="s">
        <v>66</v>
      </c>
      <c r="DD281" s="16127">
        <v>46387</v>
      </c>
      <c r="DE281" s="15973" t="s">
        <v>66</v>
      </c>
      <c r="DF281" s="10516">
        <v>39.51</v>
      </c>
      <c r="DG281" s="10516"/>
      <c r="DH281" s="10516"/>
      <c r="DI281" s="10516"/>
      <c r="DJ281" s="10516">
        <v>5624.04</v>
      </c>
      <c r="DK281" s="10516"/>
      <c r="DL281" s="10516"/>
      <c r="DM281" s="16127">
        <v>46388</v>
      </c>
      <c r="DN281" s="15973" t="s">
        <v>66</v>
      </c>
      <c r="DO281" s="16127">
        <v>46568</v>
      </c>
      <c r="DP281" s="15973" t="s">
        <v>66</v>
      </c>
      <c r="DQ281" s="10516">
        <v>39.82</v>
      </c>
      <c r="DR281" s="10516"/>
      <c r="DS281" s="10516"/>
      <c r="DT281" s="10516"/>
      <c r="DU281" s="10516">
        <v>5738.44</v>
      </c>
      <c r="DV281" s="10516"/>
      <c r="DW281" s="10516"/>
      <c r="DX281" s="16127">
        <v>46569</v>
      </c>
      <c r="DY281" s="15973" t="s">
        <v>66</v>
      </c>
      <c r="DZ281" s="16127">
        <v>46752</v>
      </c>
      <c r="EA281" s="15973" t="s">
        <v>66</v>
      </c>
      <c r="EB281" s="10516">
        <v>39.82</v>
      </c>
      <c r="EC281" s="10516"/>
      <c r="ED281" s="10516"/>
      <c r="EE281" s="10516"/>
      <c r="EF281" s="10516">
        <v>5738.44</v>
      </c>
      <c r="EG281" s="10516"/>
      <c r="EH281" s="10516"/>
      <c r="EI281" s="16127">
        <v>46753</v>
      </c>
      <c r="EJ281" s="15973" t="s">
        <v>66</v>
      </c>
      <c r="EK281" s="16127">
        <v>46934</v>
      </c>
      <c r="EL281" s="16202" t="s">
        <v>66</v>
      </c>
      <c r="EM281" s="14448">
        <v>41.41</v>
      </c>
      <c r="EN281" s="14448"/>
      <c r="EO281" s="14448"/>
      <c r="EP281" s="14448"/>
      <c r="EQ281" s="14448">
        <v>5930.28</v>
      </c>
      <c r="ER281" s="14448"/>
      <c r="ES281" s="14448"/>
      <c r="ET281" s="16127">
        <v>46935</v>
      </c>
      <c r="EU281" s="15973" t="s">
        <v>66</v>
      </c>
      <c r="EV281" s="16127">
        <v>47118</v>
      </c>
      <c r="EW281" s="15973" t="s">
        <v>66</v>
      </c>
      <c r="EX281" s="10517"/>
      <c r="EY28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81" s="10500" t="e">
        <f ca="1">STRCHECKDATE(V282:EX282)</f>
        <v>#NAME?</v>
      </c>
      <c r="FA281" s="10501"/>
      <c r="FB281" s="10501" t="str">
        <f t="shared" si="4"/>
        <v/>
      </c>
      <c r="FC281" s="10501"/>
      <c r="FD281" s="10501"/>
    </row>
    <row r="282" spans="1:160" s="15515" customFormat="1" ht="14.25" customHeight="1">
      <c r="A282" s="10490"/>
      <c r="B282" s="10490"/>
      <c r="C282" s="10490"/>
      <c r="D282" s="10490"/>
      <c r="E282" s="16125"/>
      <c r="F282" s="16125">
        <v>1</v>
      </c>
      <c r="G282" s="16125"/>
      <c r="H282" s="16125"/>
      <c r="I282" s="16145"/>
      <c r="J282" s="16145"/>
      <c r="K282" s="16122"/>
      <c r="L282" s="10491"/>
      <c r="M282" s="10508"/>
      <c r="N282" s="10508"/>
      <c r="O282" s="10508"/>
      <c r="P282" s="16123"/>
      <c r="Q282" s="16123"/>
      <c r="R282" s="10512"/>
      <c r="S282" s="10518"/>
      <c r="T282" s="10498"/>
      <c r="U282" s="10498"/>
      <c r="V282" s="10519"/>
      <c r="W282" s="10519"/>
      <c r="X282" s="10519"/>
      <c r="Y282" s="10519"/>
      <c r="Z282" s="10519"/>
      <c r="AA282" s="10519"/>
      <c r="AB282" s="10519"/>
      <c r="AC282" s="16128"/>
      <c r="AD282" s="15973"/>
      <c r="AE282" s="16128"/>
      <c r="AF282" s="15973"/>
      <c r="AG282" s="10519"/>
      <c r="AH282" s="10519"/>
      <c r="AI282" s="10519"/>
      <c r="AJ282" s="10519"/>
      <c r="AK282" s="10519"/>
      <c r="AL282" s="10519"/>
      <c r="AM282" s="10519"/>
      <c r="AN282" s="16128"/>
      <c r="AO282" s="15973"/>
      <c r="AP282" s="16147"/>
      <c r="AQ282" s="15973"/>
      <c r="AR282" s="10519"/>
      <c r="AS282" s="10519"/>
      <c r="AT282" s="10519"/>
      <c r="AU282" s="10519"/>
      <c r="AV282" s="10519"/>
      <c r="AW282" s="10519"/>
      <c r="AX282" s="10519"/>
      <c r="AY282" s="16128"/>
      <c r="AZ282" s="15973"/>
      <c r="BA282" s="16128"/>
      <c r="BB282" s="15973"/>
      <c r="BC282" s="10519"/>
      <c r="BD282" s="10519"/>
      <c r="BE282" s="10519"/>
      <c r="BF282" s="10519"/>
      <c r="BG282" s="10519"/>
      <c r="BH282" s="10519"/>
      <c r="BI282" s="10519"/>
      <c r="BJ282" s="16128"/>
      <c r="BK282" s="15973"/>
      <c r="BL282" s="16128"/>
      <c r="BM282" s="15973"/>
      <c r="BN282" s="10519"/>
      <c r="BO282" s="10519"/>
      <c r="BP282" s="10519"/>
      <c r="BQ282" s="10519"/>
      <c r="BR282" s="10519"/>
      <c r="BS282" s="10519"/>
      <c r="BT282" s="10519"/>
      <c r="BU282" s="16128"/>
      <c r="BV282" s="15973"/>
      <c r="BW282" s="16128"/>
      <c r="BX282" s="15973"/>
      <c r="BY282" s="10519"/>
      <c r="BZ282" s="10519"/>
      <c r="CA282" s="10519"/>
      <c r="CB282" s="10519"/>
      <c r="CC282" s="10519"/>
      <c r="CD282" s="10519"/>
      <c r="CE282" s="10519"/>
      <c r="CF282" s="16128"/>
      <c r="CG282" s="15973"/>
      <c r="CH282" s="16128"/>
      <c r="CI282" s="15973"/>
      <c r="CJ282" s="10519"/>
      <c r="CK282" s="10519"/>
      <c r="CL282" s="10519"/>
      <c r="CM282" s="10519"/>
      <c r="CN282" s="10519"/>
      <c r="CO282" s="10519"/>
      <c r="CP282" s="10519"/>
      <c r="CQ282" s="16128"/>
      <c r="CR282" s="15973"/>
      <c r="CS282" s="16128"/>
      <c r="CT282" s="15973"/>
      <c r="CU282" s="10519"/>
      <c r="CV282" s="10519"/>
      <c r="CW282" s="10519"/>
      <c r="CX282" s="10519"/>
      <c r="CY282" s="10519"/>
      <c r="CZ282" s="10519"/>
      <c r="DA282" s="10519"/>
      <c r="DB282" s="16128"/>
      <c r="DC282" s="15973"/>
      <c r="DD282" s="16128"/>
      <c r="DE282" s="15973"/>
      <c r="DF282" s="10519"/>
      <c r="DG282" s="10519"/>
      <c r="DH282" s="10519"/>
      <c r="DI282" s="10519"/>
      <c r="DJ282" s="10519"/>
      <c r="DK282" s="10519"/>
      <c r="DL282" s="10519"/>
      <c r="DM282" s="16128"/>
      <c r="DN282" s="15973"/>
      <c r="DO282" s="16128"/>
      <c r="DP282" s="15973"/>
      <c r="DQ282" s="10519"/>
      <c r="DR282" s="10519"/>
      <c r="DS282" s="10519"/>
      <c r="DT282" s="10519"/>
      <c r="DU282" s="10519"/>
      <c r="DV282" s="10519"/>
      <c r="DW282" s="10519"/>
      <c r="DX282" s="16128"/>
      <c r="DY282" s="15973"/>
      <c r="DZ282" s="16128"/>
      <c r="EA282" s="15973"/>
      <c r="EB282" s="10519"/>
      <c r="EC282" s="10519"/>
      <c r="ED282" s="10519"/>
      <c r="EE282" s="10519"/>
      <c r="EF282" s="10519"/>
      <c r="EG282" s="10519"/>
      <c r="EH282" s="10519"/>
      <c r="EI282" s="16128"/>
      <c r="EJ282" s="15973"/>
      <c r="EK282" s="16128"/>
      <c r="EL282" s="16202"/>
      <c r="EM282" s="14449"/>
      <c r="EN282" s="14449"/>
      <c r="EO282" s="14449"/>
      <c r="EP282" s="14449"/>
      <c r="EQ282" s="14449"/>
      <c r="ER282" s="14449"/>
      <c r="ES282" s="14449"/>
      <c r="ET282" s="16128"/>
      <c r="EU282" s="15973"/>
      <c r="EV282" s="16128"/>
      <c r="EW282" s="15973"/>
      <c r="EX282" s="10520"/>
      <c r="EY282" s="16182"/>
      <c r="EZ282" s="10500"/>
      <c r="FA282" s="10501"/>
      <c r="FB282" s="10501" t="str">
        <f t="shared" si="4"/>
        <v/>
      </c>
      <c r="FC282" s="10501"/>
      <c r="FD282" s="10501"/>
    </row>
    <row r="283" spans="1:160" s="15516" customFormat="1" ht="21" customHeight="1">
      <c r="A283" s="10490"/>
      <c r="B283" s="10490"/>
      <c r="C283" s="10490"/>
      <c r="D283" s="10490"/>
      <c r="E283" s="16125"/>
      <c r="F283" s="16125">
        <v>1</v>
      </c>
      <c r="G283" s="16125"/>
      <c r="H283" s="16125"/>
      <c r="I283" s="16145"/>
      <c r="J283" s="16122"/>
      <c r="K283" s="10490"/>
      <c r="L283" s="10491"/>
      <c r="M283" s="10508"/>
      <c r="N283" s="10508"/>
      <c r="O283" s="10508"/>
      <c r="P283" s="16123"/>
      <c r="Q283" s="16123"/>
      <c r="R283" s="10510"/>
      <c r="S283" s="11286"/>
      <c r="T283" s="11287" t="s">
        <v>621</v>
      </c>
      <c r="U283" s="11288"/>
      <c r="V283" s="11289"/>
      <c r="W283" s="11290"/>
      <c r="X283" s="11291"/>
      <c r="Y283" s="11292"/>
      <c r="Z283" s="11293"/>
      <c r="AA283" s="11294"/>
      <c r="AB283" s="11295"/>
      <c r="AC283" s="11296"/>
      <c r="AD283" s="11297"/>
      <c r="AE283" s="11298"/>
      <c r="AF283" s="11299"/>
      <c r="AG283" s="11300"/>
      <c r="AH283" s="11301"/>
      <c r="AI283" s="11302"/>
      <c r="AJ283" s="11303"/>
      <c r="AK283" s="11304"/>
      <c r="AL283" s="11305"/>
      <c r="AM283" s="11306"/>
      <c r="AN283" s="11307"/>
      <c r="AO283" s="11308"/>
      <c r="AP283" s="11309"/>
      <c r="AQ283" s="11310"/>
      <c r="AR283" s="11311"/>
      <c r="AS283" s="11312"/>
      <c r="AT283" s="11313"/>
      <c r="AU283" s="11314"/>
      <c r="AV283" s="11315"/>
      <c r="AW283" s="11316"/>
      <c r="AX283" s="11317"/>
      <c r="AY283" s="11318"/>
      <c r="AZ283" s="11319"/>
      <c r="BA283" s="11320"/>
      <c r="BB283" s="11321"/>
      <c r="BC283" s="11322"/>
      <c r="BD283" s="11323"/>
      <c r="BE283" s="11324"/>
      <c r="BF283" s="11325"/>
      <c r="BG283" s="11326"/>
      <c r="BH283" s="11327"/>
      <c r="BI283" s="11328"/>
      <c r="BJ283" s="11329"/>
      <c r="BK283" s="11330"/>
      <c r="BL283" s="11331"/>
      <c r="BM283" s="11332"/>
      <c r="BN283" s="11333"/>
      <c r="BO283" s="11334"/>
      <c r="BP283" s="11335"/>
      <c r="BQ283" s="11336"/>
      <c r="BR283" s="11337"/>
      <c r="BS283" s="11338"/>
      <c r="BT283" s="11339"/>
      <c r="BU283" s="11340"/>
      <c r="BV283" s="11341"/>
      <c r="BW283" s="11342"/>
      <c r="BX283" s="11343"/>
      <c r="BY283" s="11344"/>
      <c r="BZ283" s="11345"/>
      <c r="CA283" s="11346"/>
      <c r="CB283" s="11347"/>
      <c r="CC283" s="11348"/>
      <c r="CD283" s="11349"/>
      <c r="CE283" s="11350"/>
      <c r="CF283" s="11351"/>
      <c r="CG283" s="11352"/>
      <c r="CH283" s="11353"/>
      <c r="CI283" s="11354"/>
      <c r="CJ283" s="11355"/>
      <c r="CK283" s="11356"/>
      <c r="CL283" s="11357"/>
      <c r="CM283" s="11358"/>
      <c r="CN283" s="11359"/>
      <c r="CO283" s="11360"/>
      <c r="CP283" s="11361"/>
      <c r="CQ283" s="11362"/>
      <c r="CR283" s="11363"/>
      <c r="CS283" s="11364"/>
      <c r="CT283" s="11365"/>
      <c r="CU283" s="11366"/>
      <c r="CV283" s="11367"/>
      <c r="CW283" s="11368"/>
      <c r="CX283" s="11369"/>
      <c r="CY283" s="11370"/>
      <c r="CZ283" s="11371"/>
      <c r="DA283" s="11372"/>
      <c r="DB283" s="11373"/>
      <c r="DC283" s="11374"/>
      <c r="DD283" s="11375"/>
      <c r="DE283" s="11376"/>
      <c r="DF283" s="11377"/>
      <c r="DG283" s="11378"/>
      <c r="DH283" s="11379"/>
      <c r="DI283" s="11380"/>
      <c r="DJ283" s="11381"/>
      <c r="DK283" s="11382"/>
      <c r="DL283" s="11383"/>
      <c r="DM283" s="11384"/>
      <c r="DN283" s="11385"/>
      <c r="DO283" s="11386"/>
      <c r="DP283" s="11387"/>
      <c r="DQ283" s="11388"/>
      <c r="DR283" s="11389"/>
      <c r="DS283" s="11390"/>
      <c r="DT283" s="11391"/>
      <c r="DU283" s="11392"/>
      <c r="DV283" s="11393"/>
      <c r="DW283" s="11394"/>
      <c r="DX283" s="11395"/>
      <c r="DY283" s="11396"/>
      <c r="DZ283" s="11397"/>
      <c r="EA283" s="11398"/>
      <c r="EB283" s="11399"/>
      <c r="EC283" s="11400"/>
      <c r="ED283" s="11401"/>
      <c r="EE283" s="11402"/>
      <c r="EF283" s="11403"/>
      <c r="EG283" s="11404"/>
      <c r="EH283" s="11405"/>
      <c r="EI283" s="11406"/>
      <c r="EJ283" s="11407"/>
      <c r="EK283" s="11408"/>
      <c r="EL283" s="11409"/>
      <c r="EM283" s="15517"/>
      <c r="EN283" s="15518"/>
      <c r="EO283" s="15519"/>
      <c r="EP283" s="15520"/>
      <c r="EQ283" s="15521"/>
      <c r="ER283" s="15522"/>
      <c r="ES283" s="15523"/>
      <c r="ET283" s="15524"/>
      <c r="EU283" s="15525"/>
      <c r="EV283" s="15526"/>
      <c r="EW283" s="15527"/>
      <c r="EX283" s="11410"/>
      <c r="EY283" s="10499" t="s">
        <v>622</v>
      </c>
      <c r="EZ283" s="10500"/>
      <c r="FA283" s="10501"/>
      <c r="FB283" s="10501" t="str">
        <f t="shared" si="4"/>
        <v>Добавить значение признака дифференциации</v>
      </c>
      <c r="FC283" s="10501"/>
      <c r="FD283" s="10501"/>
    </row>
    <row r="284" spans="1:160" s="15528" customFormat="1" ht="21" customHeight="1">
      <c r="A284" s="10490"/>
      <c r="B284" s="10490"/>
      <c r="C284" s="10490"/>
      <c r="D284" s="10490"/>
      <c r="E284" s="16125"/>
      <c r="F284" s="16125">
        <v>1</v>
      </c>
      <c r="G284" s="16125"/>
      <c r="H284" s="16125"/>
      <c r="I284" s="16122"/>
      <c r="J284" s="10490"/>
      <c r="K284" s="10490"/>
      <c r="L284" s="10491"/>
      <c r="M284" s="10508"/>
      <c r="N284" s="10508"/>
      <c r="O284" s="10508"/>
      <c r="P284" s="16123"/>
      <c r="Q284" s="10509"/>
      <c r="R284" s="10510"/>
      <c r="S284" s="11411"/>
      <c r="T284" s="11412" t="s">
        <v>549</v>
      </c>
      <c r="U284" s="11413"/>
      <c r="V284" s="11414"/>
      <c r="W284" s="11415"/>
      <c r="X284" s="11416"/>
      <c r="Y284" s="11417"/>
      <c r="Z284" s="11418"/>
      <c r="AA284" s="11419"/>
      <c r="AB284" s="11420"/>
      <c r="AC284" s="11421"/>
      <c r="AD284" s="11422"/>
      <c r="AE284" s="11423"/>
      <c r="AF284" s="11424"/>
      <c r="AG284" s="11425"/>
      <c r="AH284" s="11426"/>
      <c r="AI284" s="11427"/>
      <c r="AJ284" s="11428"/>
      <c r="AK284" s="11429"/>
      <c r="AL284" s="11430"/>
      <c r="AM284" s="11431"/>
      <c r="AN284" s="11432"/>
      <c r="AO284" s="11433"/>
      <c r="AP284" s="11434"/>
      <c r="AQ284" s="11435"/>
      <c r="AR284" s="11436"/>
      <c r="AS284" s="11437"/>
      <c r="AT284" s="11438"/>
      <c r="AU284" s="11439"/>
      <c r="AV284" s="11440"/>
      <c r="AW284" s="11441"/>
      <c r="AX284" s="11442"/>
      <c r="AY284" s="11443"/>
      <c r="AZ284" s="11444"/>
      <c r="BA284" s="11445"/>
      <c r="BB284" s="11446"/>
      <c r="BC284" s="11447"/>
      <c r="BD284" s="11448"/>
      <c r="BE284" s="11449"/>
      <c r="BF284" s="11450"/>
      <c r="BG284" s="11451"/>
      <c r="BH284" s="11452"/>
      <c r="BI284" s="11453"/>
      <c r="BJ284" s="11454"/>
      <c r="BK284" s="11455"/>
      <c r="BL284" s="11456"/>
      <c r="BM284" s="11457"/>
      <c r="BN284" s="11458"/>
      <c r="BO284" s="11459"/>
      <c r="BP284" s="11460"/>
      <c r="BQ284" s="11461"/>
      <c r="BR284" s="11462"/>
      <c r="BS284" s="11463"/>
      <c r="BT284" s="11464"/>
      <c r="BU284" s="11465"/>
      <c r="BV284" s="11466"/>
      <c r="BW284" s="11467"/>
      <c r="BX284" s="11468"/>
      <c r="BY284" s="11469"/>
      <c r="BZ284" s="11470"/>
      <c r="CA284" s="11471"/>
      <c r="CB284" s="11472"/>
      <c r="CC284" s="11473"/>
      <c r="CD284" s="11474"/>
      <c r="CE284" s="11475"/>
      <c r="CF284" s="11476"/>
      <c r="CG284" s="11477"/>
      <c r="CH284" s="11478"/>
      <c r="CI284" s="11479"/>
      <c r="CJ284" s="11480"/>
      <c r="CK284" s="11481"/>
      <c r="CL284" s="11482"/>
      <c r="CM284" s="11483"/>
      <c r="CN284" s="11484"/>
      <c r="CO284" s="11485"/>
      <c r="CP284" s="11486"/>
      <c r="CQ284" s="11487"/>
      <c r="CR284" s="11488"/>
      <c r="CS284" s="11489"/>
      <c r="CT284" s="11490"/>
      <c r="CU284" s="11491"/>
      <c r="CV284" s="11492"/>
      <c r="CW284" s="11493"/>
      <c r="CX284" s="11494"/>
      <c r="CY284" s="11495"/>
      <c r="CZ284" s="11496"/>
      <c r="DA284" s="11497"/>
      <c r="DB284" s="11498"/>
      <c r="DC284" s="11499"/>
      <c r="DD284" s="11500"/>
      <c r="DE284" s="11501"/>
      <c r="DF284" s="11502"/>
      <c r="DG284" s="11503"/>
      <c r="DH284" s="11504"/>
      <c r="DI284" s="11505"/>
      <c r="DJ284" s="11506"/>
      <c r="DK284" s="11507"/>
      <c r="DL284" s="11508"/>
      <c r="DM284" s="11509"/>
      <c r="DN284" s="11510"/>
      <c r="DO284" s="11511"/>
      <c r="DP284" s="11512"/>
      <c r="DQ284" s="11513"/>
      <c r="DR284" s="11514"/>
      <c r="DS284" s="11515"/>
      <c r="DT284" s="11516"/>
      <c r="DU284" s="11517"/>
      <c r="DV284" s="11518"/>
      <c r="DW284" s="11519"/>
      <c r="DX284" s="11520"/>
      <c r="DY284" s="11521"/>
      <c r="DZ284" s="11522"/>
      <c r="EA284" s="11523"/>
      <c r="EB284" s="11524"/>
      <c r="EC284" s="11525"/>
      <c r="ED284" s="11526"/>
      <c r="EE284" s="11527"/>
      <c r="EF284" s="11528"/>
      <c r="EG284" s="11529"/>
      <c r="EH284" s="11530"/>
      <c r="EI284" s="11531"/>
      <c r="EJ284" s="11532"/>
      <c r="EK284" s="11533"/>
      <c r="EL284" s="11534"/>
      <c r="EM284" s="15529"/>
      <c r="EN284" s="15530"/>
      <c r="EO284" s="15531"/>
      <c r="EP284" s="15532"/>
      <c r="EQ284" s="15533"/>
      <c r="ER284" s="15534"/>
      <c r="ES284" s="15535"/>
      <c r="ET284" s="15536"/>
      <c r="EU284" s="15537"/>
      <c r="EV284" s="15538"/>
      <c r="EW284" s="15539"/>
      <c r="EX284" s="11535"/>
      <c r="EY284" s="11536"/>
      <c r="EZ284" s="10500"/>
      <c r="FA284" s="10501"/>
      <c r="FB284" s="10501" t="str">
        <f t="shared" si="4"/>
        <v>Добавить группу потребителей</v>
      </c>
      <c r="FC284" s="10501"/>
      <c r="FD284" s="10501"/>
    </row>
    <row r="285" spans="1:160" s="15540" customFormat="1" ht="21" customHeight="1">
      <c r="A285" s="10490"/>
      <c r="B285" s="10490"/>
      <c r="C285" s="10490"/>
      <c r="D285" s="10490"/>
      <c r="E285" s="16125"/>
      <c r="F285" s="16125">
        <v>1</v>
      </c>
      <c r="G285" s="16125"/>
      <c r="H285" s="16124"/>
      <c r="I285" s="10490"/>
      <c r="J285" s="10490"/>
      <c r="K285" s="10490"/>
      <c r="L285" s="10491"/>
      <c r="M285" s="10492"/>
      <c r="N285" s="10492"/>
      <c r="O285" s="10772"/>
      <c r="P285" s="10494"/>
      <c r="Q285" s="10773"/>
      <c r="R285" s="10495"/>
      <c r="S285" s="11537"/>
      <c r="T285" s="11538" t="s">
        <v>623</v>
      </c>
      <c r="U285" s="11539"/>
      <c r="V285" s="11540"/>
      <c r="W285" s="11541"/>
      <c r="X285" s="11542"/>
      <c r="Y285" s="11543"/>
      <c r="Z285" s="11544"/>
      <c r="AA285" s="11545"/>
      <c r="AB285" s="11546"/>
      <c r="AC285" s="11547"/>
      <c r="AD285" s="11548"/>
      <c r="AE285" s="11549"/>
      <c r="AF285" s="11550"/>
      <c r="AG285" s="11551"/>
      <c r="AH285" s="11552"/>
      <c r="AI285" s="11553"/>
      <c r="AJ285" s="11554"/>
      <c r="AK285" s="11555"/>
      <c r="AL285" s="11556"/>
      <c r="AM285" s="11557"/>
      <c r="AN285" s="11558"/>
      <c r="AO285" s="11559"/>
      <c r="AP285" s="11560"/>
      <c r="AQ285" s="11561"/>
      <c r="AR285" s="11562"/>
      <c r="AS285" s="11563"/>
      <c r="AT285" s="11564"/>
      <c r="AU285" s="11565"/>
      <c r="AV285" s="11566"/>
      <c r="AW285" s="11567"/>
      <c r="AX285" s="11568"/>
      <c r="AY285" s="11569"/>
      <c r="AZ285" s="11570"/>
      <c r="BA285" s="11571"/>
      <c r="BB285" s="11572"/>
      <c r="BC285" s="11573"/>
      <c r="BD285" s="11574"/>
      <c r="BE285" s="11575"/>
      <c r="BF285" s="11576"/>
      <c r="BG285" s="11577"/>
      <c r="BH285" s="11578"/>
      <c r="BI285" s="11579"/>
      <c r="BJ285" s="11580"/>
      <c r="BK285" s="11581"/>
      <c r="BL285" s="11582"/>
      <c r="BM285" s="11583"/>
      <c r="BN285" s="11584"/>
      <c r="BO285" s="11585"/>
      <c r="BP285" s="11586"/>
      <c r="BQ285" s="11587"/>
      <c r="BR285" s="11588"/>
      <c r="BS285" s="11589"/>
      <c r="BT285" s="11590"/>
      <c r="BU285" s="11591"/>
      <c r="BV285" s="11592"/>
      <c r="BW285" s="11593"/>
      <c r="BX285" s="11594"/>
      <c r="BY285" s="11595"/>
      <c r="BZ285" s="11596"/>
      <c r="CA285" s="11597"/>
      <c r="CB285" s="11598"/>
      <c r="CC285" s="11599"/>
      <c r="CD285" s="11600"/>
      <c r="CE285" s="11601"/>
      <c r="CF285" s="11602"/>
      <c r="CG285" s="11603"/>
      <c r="CH285" s="11604"/>
      <c r="CI285" s="11605"/>
      <c r="CJ285" s="11606"/>
      <c r="CK285" s="11607"/>
      <c r="CL285" s="11608"/>
      <c r="CM285" s="11609"/>
      <c r="CN285" s="11610"/>
      <c r="CO285" s="11611"/>
      <c r="CP285" s="11612"/>
      <c r="CQ285" s="11613"/>
      <c r="CR285" s="11614"/>
      <c r="CS285" s="11615"/>
      <c r="CT285" s="11616"/>
      <c r="CU285" s="11617"/>
      <c r="CV285" s="11618"/>
      <c r="CW285" s="11619"/>
      <c r="CX285" s="11620"/>
      <c r="CY285" s="11621"/>
      <c r="CZ285" s="11622"/>
      <c r="DA285" s="11623"/>
      <c r="DB285" s="11624"/>
      <c r="DC285" s="11625"/>
      <c r="DD285" s="11626"/>
      <c r="DE285" s="11627"/>
      <c r="DF285" s="11628"/>
      <c r="DG285" s="11629"/>
      <c r="DH285" s="11630"/>
      <c r="DI285" s="11631"/>
      <c r="DJ285" s="11632"/>
      <c r="DK285" s="11633"/>
      <c r="DL285" s="11634"/>
      <c r="DM285" s="11635"/>
      <c r="DN285" s="11636"/>
      <c r="DO285" s="11637"/>
      <c r="DP285" s="11638"/>
      <c r="DQ285" s="11639"/>
      <c r="DR285" s="11640"/>
      <c r="DS285" s="11641"/>
      <c r="DT285" s="11642"/>
      <c r="DU285" s="11643"/>
      <c r="DV285" s="11644"/>
      <c r="DW285" s="11645"/>
      <c r="DX285" s="11646"/>
      <c r="DY285" s="11647"/>
      <c r="DZ285" s="11648"/>
      <c r="EA285" s="11649"/>
      <c r="EB285" s="11650"/>
      <c r="EC285" s="11651"/>
      <c r="ED285" s="11652"/>
      <c r="EE285" s="11653"/>
      <c r="EF285" s="11654"/>
      <c r="EG285" s="11655"/>
      <c r="EH285" s="11656"/>
      <c r="EI285" s="11657"/>
      <c r="EJ285" s="11658"/>
      <c r="EK285" s="11659"/>
      <c r="EL285" s="11660"/>
      <c r="EM285" s="15541"/>
      <c r="EN285" s="15542"/>
      <c r="EO285" s="15543"/>
      <c r="EP285" s="15544"/>
      <c r="EQ285" s="15545"/>
      <c r="ER285" s="15546"/>
      <c r="ES285" s="15547"/>
      <c r="ET285" s="15548"/>
      <c r="EU285" s="15549"/>
      <c r="EV285" s="15550"/>
      <c r="EW285" s="15551"/>
      <c r="EX285" s="11661"/>
      <c r="EY285" s="11662"/>
      <c r="EZ285" s="10500"/>
      <c r="FA285" s="10501"/>
      <c r="FB285" s="10501" t="str">
        <f t="shared" si="4"/>
        <v>Добавить наименование признака дифференциации</v>
      </c>
      <c r="FC285" s="10501"/>
      <c r="FD285" s="10501"/>
    </row>
    <row r="286" spans="1:160" s="15552" customFormat="1" ht="14.25" customHeight="1">
      <c r="A286" s="11277"/>
      <c r="B286" s="11277"/>
      <c r="C286" s="11277"/>
      <c r="D286" s="11277"/>
      <c r="E286" s="16125"/>
      <c r="F286" s="16124">
        <v>1</v>
      </c>
      <c r="G286" s="11277"/>
      <c r="H286" s="11277"/>
      <c r="I286" s="11277"/>
      <c r="J286" s="11277"/>
      <c r="K286" s="11277"/>
      <c r="L286" s="11278"/>
      <c r="M286" s="11279"/>
      <c r="N286" s="11279"/>
      <c r="O286" s="10500"/>
      <c r="P286" s="11280"/>
      <c r="Q286" s="11281"/>
      <c r="R286" s="11280"/>
      <c r="S286" s="11282"/>
      <c r="T286" s="11283" t="s">
        <v>290</v>
      </c>
      <c r="U286" s="11284"/>
      <c r="V286" s="11284"/>
      <c r="W286" s="11284"/>
      <c r="X286" s="11284"/>
      <c r="Y286" s="11284"/>
      <c r="Z286" s="11284"/>
      <c r="AA286" s="11284"/>
      <c r="AB286" s="11284"/>
      <c r="AC286" s="11284"/>
      <c r="AD286" s="11284"/>
      <c r="AE286" s="11284"/>
      <c r="AF286" s="11284"/>
      <c r="AG286" s="11284"/>
      <c r="AH286" s="11284"/>
      <c r="AI286" s="11284"/>
      <c r="AJ286" s="11284"/>
      <c r="AK286" s="11284"/>
      <c r="AL286" s="11284"/>
      <c r="AM286" s="11284"/>
      <c r="AN286" s="11284"/>
      <c r="AO286" s="11284"/>
      <c r="AP286" s="11284"/>
      <c r="AQ286" s="11284"/>
      <c r="AR286" s="11284"/>
      <c r="AS286" s="11284"/>
      <c r="AT286" s="11284"/>
      <c r="AU286" s="11284"/>
      <c r="AV286" s="11284"/>
      <c r="AW286" s="11284"/>
      <c r="AX286" s="11284"/>
      <c r="AY286" s="11284"/>
      <c r="AZ286" s="11284"/>
      <c r="BA286" s="11284"/>
      <c r="BB286" s="11284"/>
      <c r="BC286" s="11284"/>
      <c r="BD286" s="11284"/>
      <c r="BE286" s="11284"/>
      <c r="BF286" s="11284"/>
      <c r="BG286" s="11284"/>
      <c r="BH286" s="11284"/>
      <c r="BI286" s="11284"/>
      <c r="BJ286" s="11284"/>
      <c r="BK286" s="11284"/>
      <c r="BL286" s="11284"/>
      <c r="BM286" s="11284"/>
      <c r="BN286" s="11284"/>
      <c r="BO286" s="11284"/>
      <c r="BP286" s="11284"/>
      <c r="BQ286" s="11284"/>
      <c r="BR286" s="11284"/>
      <c r="BS286" s="11284"/>
      <c r="BT286" s="11284"/>
      <c r="BU286" s="11284"/>
      <c r="BV286" s="11284"/>
      <c r="BW286" s="11284"/>
      <c r="BX286" s="11284"/>
      <c r="BY286" s="11284"/>
      <c r="BZ286" s="11284"/>
      <c r="CA286" s="11284"/>
      <c r="CB286" s="11284"/>
      <c r="CC286" s="11284"/>
      <c r="CD286" s="11284"/>
      <c r="CE286" s="11284"/>
      <c r="CF286" s="11284"/>
      <c r="CG286" s="11284"/>
      <c r="CH286" s="11284"/>
      <c r="CI286" s="11284"/>
      <c r="CJ286" s="11284"/>
      <c r="CK286" s="11284"/>
      <c r="CL286" s="11284"/>
      <c r="CM286" s="11284"/>
      <c r="CN286" s="11284"/>
      <c r="CO286" s="11284"/>
      <c r="CP286" s="11284"/>
      <c r="CQ286" s="11284"/>
      <c r="CR286" s="11284"/>
      <c r="CS286" s="11284"/>
      <c r="CT286" s="11284"/>
      <c r="CU286" s="11284"/>
      <c r="CV286" s="11284"/>
      <c r="CW286" s="11284"/>
      <c r="CX286" s="11284"/>
      <c r="CY286" s="11284"/>
      <c r="CZ286" s="11284"/>
      <c r="DA286" s="11284"/>
      <c r="DB286" s="11284"/>
      <c r="DC286" s="11284"/>
      <c r="DD286" s="11284"/>
      <c r="DE286" s="11284"/>
      <c r="DF286" s="11284"/>
      <c r="DG286" s="11284"/>
      <c r="DH286" s="11284"/>
      <c r="DI286" s="11284"/>
      <c r="DJ286" s="11284"/>
      <c r="DK286" s="11284"/>
      <c r="DL286" s="11284"/>
      <c r="DM286" s="11284"/>
      <c r="DN286" s="11284"/>
      <c r="DO286" s="11284"/>
      <c r="DP286" s="11284"/>
      <c r="DQ286" s="11284"/>
      <c r="DR286" s="11284"/>
      <c r="DS286" s="11284"/>
      <c r="DT286" s="11284"/>
      <c r="DU286" s="11284"/>
      <c r="DV286" s="11284"/>
      <c r="DW286" s="11284"/>
      <c r="DX286" s="11284"/>
      <c r="DY286" s="11284"/>
      <c r="DZ286" s="11284"/>
      <c r="EA286" s="11284"/>
      <c r="EB286" s="11284"/>
      <c r="EC286" s="11284"/>
      <c r="ED286" s="11284"/>
      <c r="EE286" s="11284"/>
      <c r="EF286" s="11284"/>
      <c r="EG286" s="11284"/>
      <c r="EH286" s="11284"/>
      <c r="EI286" s="11284"/>
      <c r="EJ286" s="11284"/>
      <c r="EK286" s="11284"/>
      <c r="EL286" s="11285"/>
      <c r="EM286" s="14483"/>
      <c r="EN286" s="14483"/>
      <c r="EO286" s="14483"/>
      <c r="EP286" s="14483"/>
      <c r="EQ286" s="14483"/>
      <c r="ER286" s="14483"/>
      <c r="ES286" s="14483"/>
      <c r="ET286" s="14483"/>
      <c r="EU286" s="14483"/>
      <c r="EV286" s="14483"/>
      <c r="EW286" s="14483"/>
      <c r="EX286" s="11284"/>
      <c r="EY286" s="11284"/>
      <c r="EZ286" s="10500"/>
      <c r="FA286" s="10501"/>
      <c r="FB286" s="10501" t="str">
        <f t="shared" si="4"/>
        <v>Добавить централизованную систему для дифференциации</v>
      </c>
      <c r="FC286" s="10501"/>
      <c r="FD286" s="10501"/>
    </row>
    <row r="287" spans="1:160" s="15553" customFormat="1" ht="23.25" customHeight="1">
      <c r="A287" s="10490"/>
      <c r="B287" s="10490" t="s">
        <v>369</v>
      </c>
      <c r="C287" s="10490"/>
      <c r="D287" s="10490"/>
      <c r="E287" s="16125"/>
      <c r="F287" s="16124" t="s">
        <v>89</v>
      </c>
      <c r="G287" s="10490"/>
      <c r="H287" s="10490"/>
      <c r="I287" s="10490"/>
      <c r="J287" s="10490"/>
      <c r="K287" s="10490"/>
      <c r="L287" s="10491"/>
      <c r="M287" s="10492"/>
      <c r="N287" s="10492"/>
      <c r="O287" s="10492"/>
      <c r="P287" s="10502"/>
      <c r="Q287" s="10503"/>
      <c r="R287" s="10504"/>
      <c r="S287" s="10496" t="str">
        <f>INDEX(PT_DIFFERENTIATION_NUM_TER,MATCH(B287,PT_DIFFERENTIATION_TER_ID,0))</f>
        <v>3.3</v>
      </c>
      <c r="T287" s="10505" t="s">
        <v>534</v>
      </c>
      <c r="U287" s="10498"/>
      <c r="V287" s="16110"/>
      <c r="W287" s="16111"/>
      <c r="X287" s="16111"/>
      <c r="Y287" s="16111"/>
      <c r="Z287" s="16111"/>
      <c r="AA287" s="16111"/>
      <c r="AB287" s="16111"/>
      <c r="AC287" s="16111"/>
      <c r="AD287" s="16111"/>
      <c r="AE287" s="16111"/>
      <c r="AF287" s="16112"/>
      <c r="AG287" s="16110" t="str">
        <f>INDEX(PT_DIFFERENTIATION_TER,MATCH(B287,PT_DIFFERENTIATION_TER_ID,0))</f>
        <v>Территория 3</v>
      </c>
      <c r="AH287" s="16111"/>
      <c r="AI287" s="16111"/>
      <c r="AJ287" s="16111"/>
      <c r="AK287" s="16111"/>
      <c r="AL287" s="16111"/>
      <c r="AM287" s="16111"/>
      <c r="AN287" s="16111"/>
      <c r="AO287" s="16111"/>
      <c r="AP287" s="16111"/>
      <c r="AQ287" s="16111"/>
      <c r="AR287" s="16110"/>
      <c r="AS287" s="16111"/>
      <c r="AT287" s="16111"/>
      <c r="AU287" s="16111"/>
      <c r="AV287" s="16111"/>
      <c r="AW287" s="16111"/>
      <c r="AX287" s="16111"/>
      <c r="AY287" s="16111"/>
      <c r="AZ287" s="16111"/>
      <c r="BA287" s="16111"/>
      <c r="BB287" s="16112"/>
      <c r="BC287" s="16110"/>
      <c r="BD287" s="16111"/>
      <c r="BE287" s="16111"/>
      <c r="BF287" s="16111"/>
      <c r="BG287" s="16111"/>
      <c r="BH287" s="16111"/>
      <c r="BI287" s="16111"/>
      <c r="BJ287" s="16111"/>
      <c r="BK287" s="16111"/>
      <c r="BL287" s="16111"/>
      <c r="BM287" s="16112"/>
      <c r="BN287" s="16110"/>
      <c r="BO287" s="16111"/>
      <c r="BP287" s="16111"/>
      <c r="BQ287" s="16111"/>
      <c r="BR287" s="16111"/>
      <c r="BS287" s="16111"/>
      <c r="BT287" s="16111"/>
      <c r="BU287" s="16111"/>
      <c r="BV287" s="16111"/>
      <c r="BW287" s="16111"/>
      <c r="BX287" s="16112"/>
      <c r="BY287" s="16110"/>
      <c r="BZ287" s="16111"/>
      <c r="CA287" s="16111"/>
      <c r="CB287" s="16111"/>
      <c r="CC287" s="16111"/>
      <c r="CD287" s="16111"/>
      <c r="CE287" s="16111"/>
      <c r="CF287" s="16111"/>
      <c r="CG287" s="16111"/>
      <c r="CH287" s="16111"/>
      <c r="CI287" s="16112"/>
      <c r="CJ287" s="16110"/>
      <c r="CK287" s="16111"/>
      <c r="CL287" s="16111"/>
      <c r="CM287" s="16111"/>
      <c r="CN287" s="16111"/>
      <c r="CO287" s="16111"/>
      <c r="CP287" s="16111"/>
      <c r="CQ287" s="16111"/>
      <c r="CR287" s="16111"/>
      <c r="CS287" s="16111"/>
      <c r="CT287" s="16112"/>
      <c r="CU287" s="16110"/>
      <c r="CV287" s="16111"/>
      <c r="CW287" s="16111"/>
      <c r="CX287" s="16111"/>
      <c r="CY287" s="16111"/>
      <c r="CZ287" s="16111"/>
      <c r="DA287" s="16111"/>
      <c r="DB287" s="16111"/>
      <c r="DC287" s="16111"/>
      <c r="DD287" s="16111"/>
      <c r="DE287" s="16112"/>
      <c r="DF287" s="16110"/>
      <c r="DG287" s="16111"/>
      <c r="DH287" s="16111"/>
      <c r="DI287" s="16111"/>
      <c r="DJ287" s="16111"/>
      <c r="DK287" s="16111"/>
      <c r="DL287" s="16111"/>
      <c r="DM287" s="16111"/>
      <c r="DN287" s="16111"/>
      <c r="DO287" s="16111"/>
      <c r="DP287" s="16112"/>
      <c r="DQ287" s="16110"/>
      <c r="DR287" s="16111"/>
      <c r="DS287" s="16111"/>
      <c r="DT287" s="16111"/>
      <c r="DU287" s="16111"/>
      <c r="DV287" s="16111"/>
      <c r="DW287" s="16111"/>
      <c r="DX287" s="16111"/>
      <c r="DY287" s="16111"/>
      <c r="DZ287" s="16111"/>
      <c r="EA287" s="16112"/>
      <c r="EB287" s="16110"/>
      <c r="EC287" s="16111"/>
      <c r="ED287" s="16111"/>
      <c r="EE287" s="16111"/>
      <c r="EF287" s="16111"/>
      <c r="EG287" s="16111"/>
      <c r="EH287" s="16111"/>
      <c r="EI287" s="16111"/>
      <c r="EJ287" s="16111"/>
      <c r="EK287" s="16111"/>
      <c r="EL287" s="16199"/>
      <c r="EM287" s="16110"/>
      <c r="EN287" s="16111"/>
      <c r="EO287" s="16111"/>
      <c r="EP287" s="16111"/>
      <c r="EQ287" s="16111"/>
      <c r="ER287" s="16111"/>
      <c r="ES287" s="16111"/>
      <c r="ET287" s="16111"/>
      <c r="EU287" s="16111"/>
      <c r="EV287" s="16111"/>
      <c r="EW287" s="16112"/>
      <c r="EX287" s="16112"/>
      <c r="EY287" s="10499" t="s">
        <v>535</v>
      </c>
      <c r="EZ287" s="10500"/>
      <c r="FA287" s="10501"/>
      <c r="FB287" s="10501" t="str">
        <f t="shared" si="4"/>
        <v>Территория действия тарифа</v>
      </c>
      <c r="FC287" s="10501"/>
      <c r="FD287" s="10501"/>
    </row>
    <row r="288" spans="1:160" s="15554" customFormat="1" ht="23.25" customHeight="1">
      <c r="A288" s="10490"/>
      <c r="B288" s="10490"/>
      <c r="C288" s="10490" t="s">
        <v>370</v>
      </c>
      <c r="D288" s="10490"/>
      <c r="E288" s="16125"/>
      <c r="F288" s="16125" t="s">
        <v>102</v>
      </c>
      <c r="G288" s="16124">
        <v>1</v>
      </c>
      <c r="H288" s="10490"/>
      <c r="I288" s="10490"/>
      <c r="J288" s="10490"/>
      <c r="K288" s="10490"/>
      <c r="L288" s="10491"/>
      <c r="M288" s="10492"/>
      <c r="N288" s="10492"/>
      <c r="O288" s="10492"/>
      <c r="P288" s="10506"/>
      <c r="Q288" s="10503"/>
      <c r="R288" s="10504"/>
      <c r="S288" s="10496" t="str">
        <f>INDEX(PT_DIFFERENTIATION_NUM_CS,MATCH(C288,PT_DIFFERENTIATION_CS_ID,0))</f>
        <v>3.3.1</v>
      </c>
      <c r="T288" s="10507" t="s">
        <v>665</v>
      </c>
      <c r="U288" s="10498"/>
      <c r="V288" s="16110"/>
      <c r="W288" s="16111"/>
      <c r="X288" s="16111"/>
      <c r="Y288" s="16111"/>
      <c r="Z288" s="16111"/>
      <c r="AA288" s="16111"/>
      <c r="AB288" s="16111"/>
      <c r="AC288" s="16111"/>
      <c r="AD288" s="16111"/>
      <c r="AE288" s="16111"/>
      <c r="AF288" s="16112"/>
      <c r="AG288" s="16110" t="str">
        <f>INDEX(PT_DIFFERENTIATION_CS,MATCH(C288,PT_DIFFERENTIATION_CS_ID,0))</f>
        <v>н.п. Шонгуй</v>
      </c>
      <c r="AH288" s="16111"/>
      <c r="AI288" s="16111"/>
      <c r="AJ288" s="16111"/>
      <c r="AK288" s="16111"/>
      <c r="AL288" s="16111"/>
      <c r="AM288" s="16111"/>
      <c r="AN288" s="16111"/>
      <c r="AO288" s="16111"/>
      <c r="AP288" s="16111"/>
      <c r="AQ288" s="16111"/>
      <c r="AR288" s="16110"/>
      <c r="AS288" s="16111"/>
      <c r="AT288" s="16111"/>
      <c r="AU288" s="16111"/>
      <c r="AV288" s="16111"/>
      <c r="AW288" s="16111"/>
      <c r="AX288" s="16111"/>
      <c r="AY288" s="16111"/>
      <c r="AZ288" s="16111"/>
      <c r="BA288" s="16111"/>
      <c r="BB288" s="16112"/>
      <c r="BC288" s="16110"/>
      <c r="BD288" s="16111"/>
      <c r="BE288" s="16111"/>
      <c r="BF288" s="16111"/>
      <c r="BG288" s="16111"/>
      <c r="BH288" s="16111"/>
      <c r="BI288" s="16111"/>
      <c r="BJ288" s="16111"/>
      <c r="BK288" s="16111"/>
      <c r="BL288" s="16111"/>
      <c r="BM288" s="16112"/>
      <c r="BN288" s="16110"/>
      <c r="BO288" s="16111"/>
      <c r="BP288" s="16111"/>
      <c r="BQ288" s="16111"/>
      <c r="BR288" s="16111"/>
      <c r="BS288" s="16111"/>
      <c r="BT288" s="16111"/>
      <c r="BU288" s="16111"/>
      <c r="BV288" s="16111"/>
      <c r="BW288" s="16111"/>
      <c r="BX288" s="16112"/>
      <c r="BY288" s="16110"/>
      <c r="BZ288" s="16111"/>
      <c r="CA288" s="16111"/>
      <c r="CB288" s="16111"/>
      <c r="CC288" s="16111"/>
      <c r="CD288" s="16111"/>
      <c r="CE288" s="16111"/>
      <c r="CF288" s="16111"/>
      <c r="CG288" s="16111"/>
      <c r="CH288" s="16111"/>
      <c r="CI288" s="16112"/>
      <c r="CJ288" s="16110"/>
      <c r="CK288" s="16111"/>
      <c r="CL288" s="16111"/>
      <c r="CM288" s="16111"/>
      <c r="CN288" s="16111"/>
      <c r="CO288" s="16111"/>
      <c r="CP288" s="16111"/>
      <c r="CQ288" s="16111"/>
      <c r="CR288" s="16111"/>
      <c r="CS288" s="16111"/>
      <c r="CT288" s="16112"/>
      <c r="CU288" s="16110"/>
      <c r="CV288" s="16111"/>
      <c r="CW288" s="16111"/>
      <c r="CX288" s="16111"/>
      <c r="CY288" s="16111"/>
      <c r="CZ288" s="16111"/>
      <c r="DA288" s="16111"/>
      <c r="DB288" s="16111"/>
      <c r="DC288" s="16111"/>
      <c r="DD288" s="16111"/>
      <c r="DE288" s="16112"/>
      <c r="DF288" s="16110"/>
      <c r="DG288" s="16111"/>
      <c r="DH288" s="16111"/>
      <c r="DI288" s="16111"/>
      <c r="DJ288" s="16111"/>
      <c r="DK288" s="16111"/>
      <c r="DL288" s="16111"/>
      <c r="DM288" s="16111"/>
      <c r="DN288" s="16111"/>
      <c r="DO288" s="16111"/>
      <c r="DP288" s="16112"/>
      <c r="DQ288" s="16110"/>
      <c r="DR288" s="16111"/>
      <c r="DS288" s="16111"/>
      <c r="DT288" s="16111"/>
      <c r="DU288" s="16111"/>
      <c r="DV288" s="16111"/>
      <c r="DW288" s="16111"/>
      <c r="DX288" s="16111"/>
      <c r="DY288" s="16111"/>
      <c r="DZ288" s="16111"/>
      <c r="EA288" s="16112"/>
      <c r="EB288" s="16110"/>
      <c r="EC288" s="16111"/>
      <c r="ED288" s="16111"/>
      <c r="EE288" s="16111"/>
      <c r="EF288" s="16111"/>
      <c r="EG288" s="16111"/>
      <c r="EH288" s="16111"/>
      <c r="EI288" s="16111"/>
      <c r="EJ288" s="16111"/>
      <c r="EK288" s="16111"/>
      <c r="EL288" s="16199"/>
      <c r="EM288" s="16110"/>
      <c r="EN288" s="16111"/>
      <c r="EO288" s="16111"/>
      <c r="EP288" s="16111"/>
      <c r="EQ288" s="16111"/>
      <c r="ER288" s="16111"/>
      <c r="ES288" s="16111"/>
      <c r="ET288" s="16111"/>
      <c r="EU288" s="16111"/>
      <c r="EV288" s="16111"/>
      <c r="EW288" s="16112"/>
      <c r="EX288" s="16112"/>
      <c r="EY288" s="10499" t="s">
        <v>666</v>
      </c>
      <c r="EZ288" s="10500"/>
      <c r="FA288" s="10501"/>
      <c r="FB288" s="10501" t="str">
        <f t="shared" si="4"/>
        <v>Наименование централизованной системы горячего водоснабжения</v>
      </c>
      <c r="FC288" s="10501"/>
      <c r="FD288" s="10501"/>
    </row>
    <row r="289" spans="1:160" s="15555" customFormat="1" ht="23.25" customHeight="1">
      <c r="A289" s="10490"/>
      <c r="B289" s="10490"/>
      <c r="C289" s="10490"/>
      <c r="D289" s="10490"/>
      <c r="E289" s="16125"/>
      <c r="F289" s="16125" t="s">
        <v>102</v>
      </c>
      <c r="G289" s="16125"/>
      <c r="H289" s="16125"/>
      <c r="I289" s="16122" t="str">
        <f>S288&amp;".1"</f>
        <v>3.3.1.1</v>
      </c>
      <c r="J289" s="10490"/>
      <c r="K289" s="10490"/>
      <c r="L289" s="10491"/>
      <c r="M289" s="10508"/>
      <c r="N289" s="10508"/>
      <c r="O289" s="10508"/>
      <c r="P289" s="16123">
        <v>1</v>
      </c>
      <c r="Q289" s="10509"/>
      <c r="R289" s="10510"/>
      <c r="S289" s="10496" t="str">
        <f>$I289</f>
        <v>3.3.1.1</v>
      </c>
      <c r="T289" s="10511" t="s">
        <v>618</v>
      </c>
      <c r="U289" s="10498"/>
      <c r="V289" s="16183"/>
      <c r="W289" s="16184"/>
      <c r="X289" s="16184"/>
      <c r="Y289" s="16184"/>
      <c r="Z289" s="16184"/>
      <c r="AA289" s="16184"/>
      <c r="AB289" s="16184"/>
      <c r="AC289" s="16184"/>
      <c r="AD289" s="16184"/>
      <c r="AE289" s="16184"/>
      <c r="AF289" s="16185"/>
      <c r="AG289" s="16186"/>
      <c r="AH289" s="16187"/>
      <c r="AI289" s="16187"/>
      <c r="AJ289" s="16187"/>
      <c r="AK289" s="16187"/>
      <c r="AL289" s="16187"/>
      <c r="AM289" s="16187"/>
      <c r="AN289" s="16187"/>
      <c r="AO289" s="16187"/>
      <c r="AP289" s="16187"/>
      <c r="AQ289" s="16187"/>
      <c r="AR289" s="16183"/>
      <c r="AS289" s="16184"/>
      <c r="AT289" s="16184"/>
      <c r="AU289" s="16184"/>
      <c r="AV289" s="16184"/>
      <c r="AW289" s="16184"/>
      <c r="AX289" s="16184"/>
      <c r="AY289" s="16184"/>
      <c r="AZ289" s="16184"/>
      <c r="BA289" s="16184"/>
      <c r="BB289" s="16185"/>
      <c r="BC289" s="16183"/>
      <c r="BD289" s="16184"/>
      <c r="BE289" s="16184"/>
      <c r="BF289" s="16184"/>
      <c r="BG289" s="16184"/>
      <c r="BH289" s="16184"/>
      <c r="BI289" s="16184"/>
      <c r="BJ289" s="16184"/>
      <c r="BK289" s="16184"/>
      <c r="BL289" s="16184"/>
      <c r="BM289" s="16185"/>
      <c r="BN289" s="16183"/>
      <c r="BO289" s="16184"/>
      <c r="BP289" s="16184"/>
      <c r="BQ289" s="16184"/>
      <c r="BR289" s="16184"/>
      <c r="BS289" s="16184"/>
      <c r="BT289" s="16184"/>
      <c r="BU289" s="16184"/>
      <c r="BV289" s="16184"/>
      <c r="BW289" s="16184"/>
      <c r="BX289" s="16185"/>
      <c r="BY289" s="16183"/>
      <c r="BZ289" s="16184"/>
      <c r="CA289" s="16184"/>
      <c r="CB289" s="16184"/>
      <c r="CC289" s="16184"/>
      <c r="CD289" s="16184"/>
      <c r="CE289" s="16184"/>
      <c r="CF289" s="16184"/>
      <c r="CG289" s="16184"/>
      <c r="CH289" s="16184"/>
      <c r="CI289" s="16185"/>
      <c r="CJ289" s="16183"/>
      <c r="CK289" s="16184"/>
      <c r="CL289" s="16184"/>
      <c r="CM289" s="16184"/>
      <c r="CN289" s="16184"/>
      <c r="CO289" s="16184"/>
      <c r="CP289" s="16184"/>
      <c r="CQ289" s="16184"/>
      <c r="CR289" s="16184"/>
      <c r="CS289" s="16184"/>
      <c r="CT289" s="16185"/>
      <c r="CU289" s="16183"/>
      <c r="CV289" s="16184"/>
      <c r="CW289" s="16184"/>
      <c r="CX289" s="16184"/>
      <c r="CY289" s="16184"/>
      <c r="CZ289" s="16184"/>
      <c r="DA289" s="16184"/>
      <c r="DB289" s="16184"/>
      <c r="DC289" s="16184"/>
      <c r="DD289" s="16184"/>
      <c r="DE289" s="16185"/>
      <c r="DF289" s="16183"/>
      <c r="DG289" s="16184"/>
      <c r="DH289" s="16184"/>
      <c r="DI289" s="16184"/>
      <c r="DJ289" s="16184"/>
      <c r="DK289" s="16184"/>
      <c r="DL289" s="16184"/>
      <c r="DM289" s="16184"/>
      <c r="DN289" s="16184"/>
      <c r="DO289" s="16184"/>
      <c r="DP289" s="16185"/>
      <c r="DQ289" s="16183"/>
      <c r="DR289" s="16184"/>
      <c r="DS289" s="16184"/>
      <c r="DT289" s="16184"/>
      <c r="DU289" s="16184"/>
      <c r="DV289" s="16184"/>
      <c r="DW289" s="16184"/>
      <c r="DX289" s="16184"/>
      <c r="DY289" s="16184"/>
      <c r="DZ289" s="16184"/>
      <c r="EA289" s="16185"/>
      <c r="EB289" s="16183"/>
      <c r="EC289" s="16184"/>
      <c r="ED289" s="16184"/>
      <c r="EE289" s="16184"/>
      <c r="EF289" s="16184"/>
      <c r="EG289" s="16184"/>
      <c r="EH289" s="16184"/>
      <c r="EI289" s="16184"/>
      <c r="EJ289" s="16184"/>
      <c r="EK289" s="16184"/>
      <c r="EL289" s="16200"/>
      <c r="EM289" s="16183"/>
      <c r="EN289" s="16184"/>
      <c r="EO289" s="16184"/>
      <c r="EP289" s="16184"/>
      <c r="EQ289" s="16184"/>
      <c r="ER289" s="16184"/>
      <c r="ES289" s="16184"/>
      <c r="ET289" s="16184"/>
      <c r="EU289" s="16184"/>
      <c r="EV289" s="16184"/>
      <c r="EW289" s="16185"/>
      <c r="EX289" s="16188"/>
      <c r="EY289" s="10499" t="s">
        <v>619</v>
      </c>
      <c r="EZ289" s="10500"/>
      <c r="FA289" s="10501"/>
      <c r="FB289" s="10501" t="str">
        <f t="shared" si="4"/>
        <v>Наименование признака дифференциации</v>
      </c>
      <c r="FC289" s="10501"/>
      <c r="FD289" s="10501"/>
    </row>
    <row r="290" spans="1:160" s="15556" customFormat="1" ht="23.25" customHeight="1">
      <c r="A290" s="10490"/>
      <c r="B290" s="10490"/>
      <c r="C290" s="10490"/>
      <c r="D290" s="10490"/>
      <c r="E290" s="16125"/>
      <c r="F290" s="16125" t="s">
        <v>102</v>
      </c>
      <c r="G290" s="16125"/>
      <c r="H290" s="16125"/>
      <c r="I290" s="16145"/>
      <c r="J290" s="16122" t="str">
        <f>I289&amp;".1"</f>
        <v>3.3.1.1.1</v>
      </c>
      <c r="K290" s="10490"/>
      <c r="L290" s="10491" t="s">
        <v>543</v>
      </c>
      <c r="M290" s="10508"/>
      <c r="N290" s="10508"/>
      <c r="O290" s="10508"/>
      <c r="P290" s="16123"/>
      <c r="Q290" s="16123">
        <v>1</v>
      </c>
      <c r="R290" s="10512"/>
      <c r="S290" s="10496" t="str">
        <f>$J290</f>
        <v>3.3.1.1.1</v>
      </c>
      <c r="T290" s="10513" t="s">
        <v>544</v>
      </c>
      <c r="U290" s="10498"/>
      <c r="V290" s="16113"/>
      <c r="W290" s="16114"/>
      <c r="X290" s="16114"/>
      <c r="Y290" s="16114"/>
      <c r="Z290" s="16114"/>
      <c r="AA290" s="16114"/>
      <c r="AB290" s="16114"/>
      <c r="AC290" s="16114"/>
      <c r="AD290" s="16114"/>
      <c r="AE290" s="16114"/>
      <c r="AF290" s="16115"/>
      <c r="AG290" s="16113" t="s">
        <v>679</v>
      </c>
      <c r="AH290" s="16114"/>
      <c r="AI290" s="16114"/>
      <c r="AJ290" s="16114"/>
      <c r="AK290" s="16114"/>
      <c r="AL290" s="16114"/>
      <c r="AM290" s="16114"/>
      <c r="AN290" s="16114"/>
      <c r="AO290" s="16114"/>
      <c r="AP290" s="16114"/>
      <c r="AQ290" s="16114"/>
      <c r="AR290" s="16113"/>
      <c r="AS290" s="16114"/>
      <c r="AT290" s="16114"/>
      <c r="AU290" s="16114"/>
      <c r="AV290" s="16114"/>
      <c r="AW290" s="16114"/>
      <c r="AX290" s="16114"/>
      <c r="AY290" s="16114"/>
      <c r="AZ290" s="16114"/>
      <c r="BA290" s="16114"/>
      <c r="BB290" s="16115"/>
      <c r="BC290" s="16113"/>
      <c r="BD290" s="16114"/>
      <c r="BE290" s="16114"/>
      <c r="BF290" s="16114"/>
      <c r="BG290" s="16114"/>
      <c r="BH290" s="16114"/>
      <c r="BI290" s="16114"/>
      <c r="BJ290" s="16114"/>
      <c r="BK290" s="16114"/>
      <c r="BL290" s="16114"/>
      <c r="BM290" s="16115"/>
      <c r="BN290" s="16113"/>
      <c r="BO290" s="16114"/>
      <c r="BP290" s="16114"/>
      <c r="BQ290" s="16114"/>
      <c r="BR290" s="16114"/>
      <c r="BS290" s="16114"/>
      <c r="BT290" s="16114"/>
      <c r="BU290" s="16114"/>
      <c r="BV290" s="16114"/>
      <c r="BW290" s="16114"/>
      <c r="BX290" s="16115"/>
      <c r="BY290" s="16113"/>
      <c r="BZ290" s="16114"/>
      <c r="CA290" s="16114"/>
      <c r="CB290" s="16114"/>
      <c r="CC290" s="16114"/>
      <c r="CD290" s="16114"/>
      <c r="CE290" s="16114"/>
      <c r="CF290" s="16114"/>
      <c r="CG290" s="16114"/>
      <c r="CH290" s="16114"/>
      <c r="CI290" s="16115"/>
      <c r="CJ290" s="16113"/>
      <c r="CK290" s="16114"/>
      <c r="CL290" s="16114"/>
      <c r="CM290" s="16114"/>
      <c r="CN290" s="16114"/>
      <c r="CO290" s="16114"/>
      <c r="CP290" s="16114"/>
      <c r="CQ290" s="16114"/>
      <c r="CR290" s="16114"/>
      <c r="CS290" s="16114"/>
      <c r="CT290" s="16115"/>
      <c r="CU290" s="16113"/>
      <c r="CV290" s="16114"/>
      <c r="CW290" s="16114"/>
      <c r="CX290" s="16114"/>
      <c r="CY290" s="16114"/>
      <c r="CZ290" s="16114"/>
      <c r="DA290" s="16114"/>
      <c r="DB290" s="16114"/>
      <c r="DC290" s="16114"/>
      <c r="DD290" s="16114"/>
      <c r="DE290" s="16115"/>
      <c r="DF290" s="16113"/>
      <c r="DG290" s="16114"/>
      <c r="DH290" s="16114"/>
      <c r="DI290" s="16114"/>
      <c r="DJ290" s="16114"/>
      <c r="DK290" s="16114"/>
      <c r="DL290" s="16114"/>
      <c r="DM290" s="16114"/>
      <c r="DN290" s="16114"/>
      <c r="DO290" s="16114"/>
      <c r="DP290" s="16115"/>
      <c r="DQ290" s="16113"/>
      <c r="DR290" s="16114"/>
      <c r="DS290" s="16114"/>
      <c r="DT290" s="16114"/>
      <c r="DU290" s="16114"/>
      <c r="DV290" s="16114"/>
      <c r="DW290" s="16114"/>
      <c r="DX290" s="16114"/>
      <c r="DY290" s="16114"/>
      <c r="DZ290" s="16114"/>
      <c r="EA290" s="16115"/>
      <c r="EB290" s="16113"/>
      <c r="EC290" s="16114"/>
      <c r="ED290" s="16114"/>
      <c r="EE290" s="16114"/>
      <c r="EF290" s="16114"/>
      <c r="EG290" s="16114"/>
      <c r="EH290" s="16114"/>
      <c r="EI290" s="16114"/>
      <c r="EJ290" s="16114"/>
      <c r="EK290" s="16114"/>
      <c r="EL290" s="16201"/>
      <c r="EM290" s="16113"/>
      <c r="EN290" s="16114"/>
      <c r="EO290" s="16114"/>
      <c r="EP290" s="16114"/>
      <c r="EQ290" s="16114"/>
      <c r="ER290" s="16114"/>
      <c r="ES290" s="16114"/>
      <c r="ET290" s="16114"/>
      <c r="EU290" s="16114"/>
      <c r="EV290" s="16114"/>
      <c r="EW290" s="16115"/>
      <c r="EX290" s="16115"/>
      <c r="EY290" s="10514" t="s">
        <v>620</v>
      </c>
      <c r="EZ290" s="10500"/>
      <c r="FA290" s="10501"/>
      <c r="FB290" s="10501" t="str">
        <f t="shared" si="4"/>
        <v>Группа потребителей</v>
      </c>
      <c r="FC290" s="10501"/>
      <c r="FD290" s="10501"/>
    </row>
    <row r="291" spans="1:160" s="15557" customFormat="1" ht="23.25" customHeight="1">
      <c r="A291" s="10490"/>
      <c r="B291" s="10490"/>
      <c r="C291" s="10490"/>
      <c r="D291" s="10490"/>
      <c r="E291" s="16125"/>
      <c r="F291" s="16125" t="s">
        <v>102</v>
      </c>
      <c r="G291" s="16125"/>
      <c r="H291" s="16125"/>
      <c r="I291" s="16145"/>
      <c r="J291" s="16145"/>
      <c r="K291" s="16122" t="str">
        <f>J290&amp;".1"</f>
        <v>3.3.1.1.1.1</v>
      </c>
      <c r="L291" s="10491"/>
      <c r="M291" s="10508"/>
      <c r="N291" s="10508"/>
      <c r="O291" s="10508"/>
      <c r="P291" s="16123"/>
      <c r="Q291" s="16123"/>
      <c r="R291" s="10512">
        <v>1</v>
      </c>
      <c r="S291" s="10496" t="str">
        <f>$K291</f>
        <v>3.3.1.1.1.1</v>
      </c>
      <c r="T291" s="10515"/>
      <c r="U291" s="10498"/>
      <c r="V291" s="10516"/>
      <c r="W291" s="10516"/>
      <c r="X291" s="10516"/>
      <c r="Y291" s="10516"/>
      <c r="Z291" s="10516"/>
      <c r="AA291" s="10516"/>
      <c r="AB291" s="10516"/>
      <c r="AC291" s="16127"/>
      <c r="AD291" s="15973" t="s">
        <v>66</v>
      </c>
      <c r="AE291" s="16127"/>
      <c r="AF291" s="15973" t="s">
        <v>66</v>
      </c>
      <c r="AG291" s="10516">
        <v>35.07</v>
      </c>
      <c r="AH291" s="10516"/>
      <c r="AI291" s="10516"/>
      <c r="AJ291" s="10516"/>
      <c r="AK291" s="10516">
        <v>5211.17</v>
      </c>
      <c r="AL291" s="10516"/>
      <c r="AM291" s="10516"/>
      <c r="AN291" s="16127">
        <v>45292</v>
      </c>
      <c r="AO291" s="15973" t="s">
        <v>66</v>
      </c>
      <c r="AP291" s="16146">
        <v>45378</v>
      </c>
      <c r="AQ291" s="15973" t="s">
        <v>66</v>
      </c>
      <c r="AR291" s="10516">
        <v>35.07</v>
      </c>
      <c r="AS291" s="10516"/>
      <c r="AT291" s="10516"/>
      <c r="AU291" s="10516"/>
      <c r="AV291" s="10516">
        <v>5211.17</v>
      </c>
      <c r="AW291" s="10516"/>
      <c r="AX291" s="10516"/>
      <c r="AY291" s="16127">
        <v>45379</v>
      </c>
      <c r="AZ291" s="15973" t="s">
        <v>66</v>
      </c>
      <c r="BA291" s="16127">
        <v>45473</v>
      </c>
      <c r="BB291" s="15973" t="s">
        <v>66</v>
      </c>
      <c r="BC291" s="10516">
        <v>38.96</v>
      </c>
      <c r="BD291" s="10516"/>
      <c r="BE291" s="10516"/>
      <c r="BF291" s="10516"/>
      <c r="BG291" s="10516">
        <v>5493.65</v>
      </c>
      <c r="BH291" s="10516"/>
      <c r="BI291" s="10516"/>
      <c r="BJ291" s="16127">
        <v>45474</v>
      </c>
      <c r="BK291" s="15973" t="s">
        <v>66</v>
      </c>
      <c r="BL291" s="16127">
        <v>45657</v>
      </c>
      <c r="BM291" s="15973" t="s">
        <v>66</v>
      </c>
      <c r="BN291" s="10516">
        <v>37.31</v>
      </c>
      <c r="BO291" s="10516"/>
      <c r="BP291" s="10516"/>
      <c r="BQ291" s="10516"/>
      <c r="BR291" s="10516">
        <v>5407.73</v>
      </c>
      <c r="BS291" s="10516"/>
      <c r="BT291" s="10516"/>
      <c r="BU291" s="16127">
        <v>45658</v>
      </c>
      <c r="BV291" s="15973" t="s">
        <v>66</v>
      </c>
      <c r="BW291" s="16127">
        <v>45838</v>
      </c>
      <c r="BX291" s="15973" t="s">
        <v>66</v>
      </c>
      <c r="BY291" s="10516">
        <v>37.369999999999997</v>
      </c>
      <c r="BZ291" s="10516"/>
      <c r="CA291" s="10516"/>
      <c r="CB291" s="10516"/>
      <c r="CC291" s="10516">
        <v>5407.73</v>
      </c>
      <c r="CD291" s="10516"/>
      <c r="CE291" s="10516"/>
      <c r="CF291" s="16127">
        <v>45839</v>
      </c>
      <c r="CG291" s="15973" t="s">
        <v>66</v>
      </c>
      <c r="CH291" s="16127">
        <v>46022</v>
      </c>
      <c r="CI291" s="15973" t="s">
        <v>66</v>
      </c>
      <c r="CJ291" s="10516">
        <v>37.369999999999997</v>
      </c>
      <c r="CK291" s="10516"/>
      <c r="CL291" s="10516"/>
      <c r="CM291" s="10516"/>
      <c r="CN291" s="10516">
        <v>5407.73</v>
      </c>
      <c r="CO291" s="10516"/>
      <c r="CP291" s="10516"/>
      <c r="CQ291" s="16127">
        <v>46023</v>
      </c>
      <c r="CR291" s="15973" t="s">
        <v>66</v>
      </c>
      <c r="CS291" s="16127">
        <v>46203</v>
      </c>
      <c r="CT291" s="15973" t="s">
        <v>66</v>
      </c>
      <c r="CU291" s="10516">
        <v>39.51</v>
      </c>
      <c r="CV291" s="10516"/>
      <c r="CW291" s="10516"/>
      <c r="CX291" s="10516"/>
      <c r="CY291" s="10516">
        <v>5624.04</v>
      </c>
      <c r="CZ291" s="10516"/>
      <c r="DA291" s="10516"/>
      <c r="DB291" s="16127">
        <v>46204</v>
      </c>
      <c r="DC291" s="15973" t="s">
        <v>66</v>
      </c>
      <c r="DD291" s="16127">
        <v>46387</v>
      </c>
      <c r="DE291" s="15973" t="s">
        <v>66</v>
      </c>
      <c r="DF291" s="10516">
        <v>39.51</v>
      </c>
      <c r="DG291" s="10516"/>
      <c r="DH291" s="10516"/>
      <c r="DI291" s="10516"/>
      <c r="DJ291" s="10516">
        <v>5624.04</v>
      </c>
      <c r="DK291" s="10516"/>
      <c r="DL291" s="10516"/>
      <c r="DM291" s="16127">
        <v>46388</v>
      </c>
      <c r="DN291" s="15973" t="s">
        <v>66</v>
      </c>
      <c r="DO291" s="16127">
        <v>46568</v>
      </c>
      <c r="DP291" s="15973" t="s">
        <v>66</v>
      </c>
      <c r="DQ291" s="10516">
        <v>39.82</v>
      </c>
      <c r="DR291" s="10516"/>
      <c r="DS291" s="10516"/>
      <c r="DT291" s="10516"/>
      <c r="DU291" s="10516">
        <v>5726.23</v>
      </c>
      <c r="DV291" s="10516"/>
      <c r="DW291" s="10516"/>
      <c r="DX291" s="16127">
        <v>46569</v>
      </c>
      <c r="DY291" s="15973" t="s">
        <v>66</v>
      </c>
      <c r="DZ291" s="16127">
        <v>46752</v>
      </c>
      <c r="EA291" s="15973" t="s">
        <v>66</v>
      </c>
      <c r="EB291" s="10516">
        <v>39.82</v>
      </c>
      <c r="EC291" s="10516"/>
      <c r="ED291" s="10516"/>
      <c r="EE291" s="10516"/>
      <c r="EF291" s="10516">
        <v>5726.23</v>
      </c>
      <c r="EG291" s="10516"/>
      <c r="EH291" s="10516"/>
      <c r="EI291" s="16127">
        <v>46753</v>
      </c>
      <c r="EJ291" s="15973" t="s">
        <v>66</v>
      </c>
      <c r="EK291" s="16127">
        <v>46934</v>
      </c>
      <c r="EL291" s="16202" t="s">
        <v>66</v>
      </c>
      <c r="EM291" s="14448">
        <v>41.41</v>
      </c>
      <c r="EN291" s="14448"/>
      <c r="EO291" s="14448"/>
      <c r="EP291" s="14448"/>
      <c r="EQ291" s="14448">
        <v>5922.36</v>
      </c>
      <c r="ER291" s="14448"/>
      <c r="ES291" s="14448"/>
      <c r="ET291" s="16127">
        <v>46935</v>
      </c>
      <c r="EU291" s="15973" t="s">
        <v>66</v>
      </c>
      <c r="EV291" s="16127">
        <v>47118</v>
      </c>
      <c r="EW291" s="15973" t="s">
        <v>66</v>
      </c>
      <c r="EX291" s="10517"/>
      <c r="EY29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291" s="10500" t="e">
        <f ca="1">STRCHECKDATE(V292:EX292)</f>
        <v>#NAME?</v>
      </c>
      <c r="FA291" s="10501"/>
      <c r="FB291" s="10501" t="str">
        <f t="shared" si="4"/>
        <v/>
      </c>
      <c r="FC291" s="10501"/>
      <c r="FD291" s="10501"/>
    </row>
    <row r="292" spans="1:160" s="15558" customFormat="1" ht="14.25" customHeight="1">
      <c r="A292" s="10490"/>
      <c r="B292" s="10490"/>
      <c r="C292" s="10490"/>
      <c r="D292" s="10490"/>
      <c r="E292" s="16125"/>
      <c r="F292" s="16125" t="s">
        <v>102</v>
      </c>
      <c r="G292" s="16125"/>
      <c r="H292" s="16125"/>
      <c r="I292" s="16145"/>
      <c r="J292" s="16145"/>
      <c r="K292" s="16122"/>
      <c r="L292" s="10491"/>
      <c r="M292" s="10508"/>
      <c r="N292" s="10508"/>
      <c r="O292" s="10508"/>
      <c r="P292" s="16123"/>
      <c r="Q292" s="16123"/>
      <c r="R292" s="10512"/>
      <c r="S292" s="10518"/>
      <c r="T292" s="10498"/>
      <c r="U292" s="10498"/>
      <c r="V292" s="10519"/>
      <c r="W292" s="10519"/>
      <c r="X292" s="10519"/>
      <c r="Y292" s="10519"/>
      <c r="Z292" s="10519"/>
      <c r="AA292" s="10519"/>
      <c r="AB292" s="10519"/>
      <c r="AC292" s="16128"/>
      <c r="AD292" s="15973"/>
      <c r="AE292" s="16128"/>
      <c r="AF292" s="15973"/>
      <c r="AG292" s="10519"/>
      <c r="AH292" s="10519"/>
      <c r="AI292" s="10519"/>
      <c r="AJ292" s="10519"/>
      <c r="AK292" s="10519"/>
      <c r="AL292" s="10519"/>
      <c r="AM292" s="10519"/>
      <c r="AN292" s="16128"/>
      <c r="AO292" s="15973"/>
      <c r="AP292" s="16147"/>
      <c r="AQ292" s="15973"/>
      <c r="AR292" s="10519"/>
      <c r="AS292" s="10519"/>
      <c r="AT292" s="10519"/>
      <c r="AU292" s="10519"/>
      <c r="AV292" s="10519"/>
      <c r="AW292" s="10519"/>
      <c r="AX292" s="10519"/>
      <c r="AY292" s="16128"/>
      <c r="AZ292" s="15973"/>
      <c r="BA292" s="16128"/>
      <c r="BB292" s="15973"/>
      <c r="BC292" s="10519"/>
      <c r="BD292" s="10519"/>
      <c r="BE292" s="10519"/>
      <c r="BF292" s="10519"/>
      <c r="BG292" s="10519"/>
      <c r="BH292" s="10519"/>
      <c r="BI292" s="10519"/>
      <c r="BJ292" s="16128"/>
      <c r="BK292" s="15973"/>
      <c r="BL292" s="16128"/>
      <c r="BM292" s="15973"/>
      <c r="BN292" s="10519"/>
      <c r="BO292" s="10519"/>
      <c r="BP292" s="10519"/>
      <c r="BQ292" s="10519"/>
      <c r="BR292" s="10519"/>
      <c r="BS292" s="10519"/>
      <c r="BT292" s="10519"/>
      <c r="BU292" s="16128"/>
      <c r="BV292" s="15973"/>
      <c r="BW292" s="16128"/>
      <c r="BX292" s="15973"/>
      <c r="BY292" s="10519"/>
      <c r="BZ292" s="10519"/>
      <c r="CA292" s="10519"/>
      <c r="CB292" s="10519"/>
      <c r="CC292" s="10519"/>
      <c r="CD292" s="10519"/>
      <c r="CE292" s="10519"/>
      <c r="CF292" s="16128"/>
      <c r="CG292" s="15973"/>
      <c r="CH292" s="16128"/>
      <c r="CI292" s="15973"/>
      <c r="CJ292" s="10519"/>
      <c r="CK292" s="10519"/>
      <c r="CL292" s="10519"/>
      <c r="CM292" s="10519"/>
      <c r="CN292" s="10519"/>
      <c r="CO292" s="10519"/>
      <c r="CP292" s="10519"/>
      <c r="CQ292" s="16128"/>
      <c r="CR292" s="15973"/>
      <c r="CS292" s="16128"/>
      <c r="CT292" s="15973"/>
      <c r="CU292" s="10519"/>
      <c r="CV292" s="10519"/>
      <c r="CW292" s="10519"/>
      <c r="CX292" s="10519"/>
      <c r="CY292" s="10519"/>
      <c r="CZ292" s="10519"/>
      <c r="DA292" s="10519"/>
      <c r="DB292" s="16128"/>
      <c r="DC292" s="15973"/>
      <c r="DD292" s="16128"/>
      <c r="DE292" s="15973"/>
      <c r="DF292" s="10519"/>
      <c r="DG292" s="10519"/>
      <c r="DH292" s="10519"/>
      <c r="DI292" s="10519"/>
      <c r="DJ292" s="10519"/>
      <c r="DK292" s="10519"/>
      <c r="DL292" s="10519"/>
      <c r="DM292" s="16128"/>
      <c r="DN292" s="15973"/>
      <c r="DO292" s="16128"/>
      <c r="DP292" s="15973"/>
      <c r="DQ292" s="10519"/>
      <c r="DR292" s="10519"/>
      <c r="DS292" s="10519"/>
      <c r="DT292" s="10519"/>
      <c r="DU292" s="10519"/>
      <c r="DV292" s="10519"/>
      <c r="DW292" s="10519"/>
      <c r="DX292" s="16128"/>
      <c r="DY292" s="15973"/>
      <c r="DZ292" s="16128"/>
      <c r="EA292" s="15973"/>
      <c r="EB292" s="10519"/>
      <c r="EC292" s="10519"/>
      <c r="ED292" s="10519"/>
      <c r="EE292" s="10519"/>
      <c r="EF292" s="10519"/>
      <c r="EG292" s="10519"/>
      <c r="EH292" s="10519"/>
      <c r="EI292" s="16128"/>
      <c r="EJ292" s="15973"/>
      <c r="EK292" s="16128"/>
      <c r="EL292" s="16202"/>
      <c r="EM292" s="14449"/>
      <c r="EN292" s="14449"/>
      <c r="EO292" s="14449"/>
      <c r="EP292" s="14449"/>
      <c r="EQ292" s="14449"/>
      <c r="ER292" s="14449"/>
      <c r="ES292" s="14449"/>
      <c r="ET292" s="16128"/>
      <c r="EU292" s="15973"/>
      <c r="EV292" s="16128"/>
      <c r="EW292" s="15973"/>
      <c r="EX292" s="10520"/>
      <c r="EY292" s="16182"/>
      <c r="EZ292" s="10500"/>
      <c r="FA292" s="10501"/>
      <c r="FB292" s="10501" t="str">
        <f t="shared" si="4"/>
        <v/>
      </c>
      <c r="FC292" s="10501"/>
      <c r="FD292" s="10501"/>
    </row>
    <row r="293" spans="1:160" s="15559" customFormat="1" ht="21" customHeight="1">
      <c r="A293" s="10490"/>
      <c r="B293" s="10490"/>
      <c r="C293" s="10490"/>
      <c r="D293" s="10490"/>
      <c r="E293" s="16125"/>
      <c r="F293" s="16125" t="s">
        <v>102</v>
      </c>
      <c r="G293" s="16125"/>
      <c r="H293" s="16125"/>
      <c r="I293" s="16145"/>
      <c r="J293" s="16122"/>
      <c r="K293" s="10490"/>
      <c r="L293" s="10491"/>
      <c r="M293" s="10508"/>
      <c r="N293" s="10508"/>
      <c r="O293" s="10508"/>
      <c r="P293" s="16123"/>
      <c r="Q293" s="16123"/>
      <c r="R293" s="10510"/>
      <c r="S293" s="11663"/>
      <c r="T293" s="11664" t="s">
        <v>621</v>
      </c>
      <c r="U293" s="11665"/>
      <c r="V293" s="11666"/>
      <c r="W293" s="11667"/>
      <c r="X293" s="11668"/>
      <c r="Y293" s="11669"/>
      <c r="Z293" s="11670"/>
      <c r="AA293" s="11671"/>
      <c r="AB293" s="11672"/>
      <c r="AC293" s="11673"/>
      <c r="AD293" s="11674"/>
      <c r="AE293" s="11675"/>
      <c r="AF293" s="11676"/>
      <c r="AG293" s="11677"/>
      <c r="AH293" s="11678"/>
      <c r="AI293" s="11679"/>
      <c r="AJ293" s="11680"/>
      <c r="AK293" s="11681"/>
      <c r="AL293" s="11682"/>
      <c r="AM293" s="11683"/>
      <c r="AN293" s="11684"/>
      <c r="AO293" s="11685"/>
      <c r="AP293" s="11686"/>
      <c r="AQ293" s="11687"/>
      <c r="AR293" s="11688"/>
      <c r="AS293" s="11689"/>
      <c r="AT293" s="11690"/>
      <c r="AU293" s="11691"/>
      <c r="AV293" s="11692"/>
      <c r="AW293" s="11693"/>
      <c r="AX293" s="11694"/>
      <c r="AY293" s="11695"/>
      <c r="AZ293" s="11696"/>
      <c r="BA293" s="11697"/>
      <c r="BB293" s="11698"/>
      <c r="BC293" s="11699"/>
      <c r="BD293" s="11700"/>
      <c r="BE293" s="11701"/>
      <c r="BF293" s="11702"/>
      <c r="BG293" s="11703"/>
      <c r="BH293" s="11704"/>
      <c r="BI293" s="11705"/>
      <c r="BJ293" s="11706"/>
      <c r="BK293" s="11707"/>
      <c r="BL293" s="11708"/>
      <c r="BM293" s="11709"/>
      <c r="BN293" s="11710"/>
      <c r="BO293" s="11711"/>
      <c r="BP293" s="11712"/>
      <c r="BQ293" s="11713"/>
      <c r="BR293" s="11714"/>
      <c r="BS293" s="11715"/>
      <c r="BT293" s="11716"/>
      <c r="BU293" s="11717"/>
      <c r="BV293" s="11718"/>
      <c r="BW293" s="11719"/>
      <c r="BX293" s="11720"/>
      <c r="BY293" s="11721"/>
      <c r="BZ293" s="11722"/>
      <c r="CA293" s="11723"/>
      <c r="CB293" s="11724"/>
      <c r="CC293" s="11725"/>
      <c r="CD293" s="11726"/>
      <c r="CE293" s="11727"/>
      <c r="CF293" s="11728"/>
      <c r="CG293" s="11729"/>
      <c r="CH293" s="11730"/>
      <c r="CI293" s="11731"/>
      <c r="CJ293" s="11732"/>
      <c r="CK293" s="11733"/>
      <c r="CL293" s="11734"/>
      <c r="CM293" s="11735"/>
      <c r="CN293" s="11736"/>
      <c r="CO293" s="11737"/>
      <c r="CP293" s="11738"/>
      <c r="CQ293" s="11739"/>
      <c r="CR293" s="11740"/>
      <c r="CS293" s="11741"/>
      <c r="CT293" s="11742"/>
      <c r="CU293" s="11743"/>
      <c r="CV293" s="11744"/>
      <c r="CW293" s="11745"/>
      <c r="CX293" s="11746"/>
      <c r="CY293" s="11747"/>
      <c r="CZ293" s="11748"/>
      <c r="DA293" s="11749"/>
      <c r="DB293" s="11750"/>
      <c r="DC293" s="11751"/>
      <c r="DD293" s="11752"/>
      <c r="DE293" s="11753"/>
      <c r="DF293" s="11754"/>
      <c r="DG293" s="11755"/>
      <c r="DH293" s="11756"/>
      <c r="DI293" s="11757"/>
      <c r="DJ293" s="11758"/>
      <c r="DK293" s="11759"/>
      <c r="DL293" s="11760"/>
      <c r="DM293" s="11761"/>
      <c r="DN293" s="11762"/>
      <c r="DO293" s="11763"/>
      <c r="DP293" s="11764"/>
      <c r="DQ293" s="11765"/>
      <c r="DR293" s="11766"/>
      <c r="DS293" s="11767"/>
      <c r="DT293" s="11768"/>
      <c r="DU293" s="11769"/>
      <c r="DV293" s="11770"/>
      <c r="DW293" s="11771"/>
      <c r="DX293" s="11772"/>
      <c r="DY293" s="11773"/>
      <c r="DZ293" s="11774"/>
      <c r="EA293" s="11775"/>
      <c r="EB293" s="11776"/>
      <c r="EC293" s="11777"/>
      <c r="ED293" s="11778"/>
      <c r="EE293" s="11779"/>
      <c r="EF293" s="11780"/>
      <c r="EG293" s="11781"/>
      <c r="EH293" s="11782"/>
      <c r="EI293" s="11783"/>
      <c r="EJ293" s="11784"/>
      <c r="EK293" s="11785"/>
      <c r="EL293" s="11786"/>
      <c r="EM293" s="15560"/>
      <c r="EN293" s="15561"/>
      <c r="EO293" s="15562"/>
      <c r="EP293" s="15563"/>
      <c r="EQ293" s="15564"/>
      <c r="ER293" s="15565"/>
      <c r="ES293" s="15566"/>
      <c r="ET293" s="15567"/>
      <c r="EU293" s="15568"/>
      <c r="EV293" s="15569"/>
      <c r="EW293" s="15570"/>
      <c r="EX293" s="11787"/>
      <c r="EY293" s="10499" t="s">
        <v>622</v>
      </c>
      <c r="EZ293" s="10500"/>
      <c r="FA293" s="10501"/>
      <c r="FB293" s="10501" t="str">
        <f t="shared" si="4"/>
        <v>Добавить значение признака дифференциации</v>
      </c>
      <c r="FC293" s="10501"/>
      <c r="FD293" s="10501"/>
    </row>
    <row r="294" spans="1:160" s="15571" customFormat="1" ht="21" customHeight="1">
      <c r="A294" s="10490"/>
      <c r="B294" s="10490"/>
      <c r="C294" s="10490"/>
      <c r="D294" s="10490"/>
      <c r="E294" s="16125"/>
      <c r="F294" s="16125" t="s">
        <v>102</v>
      </c>
      <c r="G294" s="16125"/>
      <c r="H294" s="16125"/>
      <c r="I294" s="16122"/>
      <c r="J294" s="10490"/>
      <c r="K294" s="10490"/>
      <c r="L294" s="10491"/>
      <c r="M294" s="10508"/>
      <c r="N294" s="10508"/>
      <c r="O294" s="10508"/>
      <c r="P294" s="16123"/>
      <c r="Q294" s="10509"/>
      <c r="R294" s="10510"/>
      <c r="S294" s="11788"/>
      <c r="T294" s="11789" t="s">
        <v>549</v>
      </c>
      <c r="U294" s="11790"/>
      <c r="V294" s="11791"/>
      <c r="W294" s="11792"/>
      <c r="X294" s="11793"/>
      <c r="Y294" s="11794"/>
      <c r="Z294" s="11795"/>
      <c r="AA294" s="11796"/>
      <c r="AB294" s="11797"/>
      <c r="AC294" s="11798"/>
      <c r="AD294" s="11799"/>
      <c r="AE294" s="11800"/>
      <c r="AF294" s="11801"/>
      <c r="AG294" s="11802"/>
      <c r="AH294" s="11803"/>
      <c r="AI294" s="11804"/>
      <c r="AJ294" s="11805"/>
      <c r="AK294" s="11806"/>
      <c r="AL294" s="11807"/>
      <c r="AM294" s="11808"/>
      <c r="AN294" s="11809"/>
      <c r="AO294" s="11810"/>
      <c r="AP294" s="11811"/>
      <c r="AQ294" s="11812"/>
      <c r="AR294" s="11813"/>
      <c r="AS294" s="11814"/>
      <c r="AT294" s="11815"/>
      <c r="AU294" s="11816"/>
      <c r="AV294" s="11817"/>
      <c r="AW294" s="11818"/>
      <c r="AX294" s="11819"/>
      <c r="AY294" s="11820"/>
      <c r="AZ294" s="11821"/>
      <c r="BA294" s="11822"/>
      <c r="BB294" s="11823"/>
      <c r="BC294" s="11824"/>
      <c r="BD294" s="11825"/>
      <c r="BE294" s="11826"/>
      <c r="BF294" s="11827"/>
      <c r="BG294" s="11828"/>
      <c r="BH294" s="11829"/>
      <c r="BI294" s="11830"/>
      <c r="BJ294" s="11831"/>
      <c r="BK294" s="11832"/>
      <c r="BL294" s="11833"/>
      <c r="BM294" s="11834"/>
      <c r="BN294" s="11835"/>
      <c r="BO294" s="11836"/>
      <c r="BP294" s="11837"/>
      <c r="BQ294" s="11838"/>
      <c r="BR294" s="11839"/>
      <c r="BS294" s="11840"/>
      <c r="BT294" s="11841"/>
      <c r="BU294" s="11842"/>
      <c r="BV294" s="11843"/>
      <c r="BW294" s="11844"/>
      <c r="BX294" s="11845"/>
      <c r="BY294" s="11846"/>
      <c r="BZ294" s="11847"/>
      <c r="CA294" s="11848"/>
      <c r="CB294" s="11849"/>
      <c r="CC294" s="11850"/>
      <c r="CD294" s="11851"/>
      <c r="CE294" s="11852"/>
      <c r="CF294" s="11853"/>
      <c r="CG294" s="11854"/>
      <c r="CH294" s="11855"/>
      <c r="CI294" s="11856"/>
      <c r="CJ294" s="11857"/>
      <c r="CK294" s="11858"/>
      <c r="CL294" s="11859"/>
      <c r="CM294" s="11860"/>
      <c r="CN294" s="11861"/>
      <c r="CO294" s="11862"/>
      <c r="CP294" s="11863"/>
      <c r="CQ294" s="11864"/>
      <c r="CR294" s="11865"/>
      <c r="CS294" s="11866"/>
      <c r="CT294" s="11867"/>
      <c r="CU294" s="11868"/>
      <c r="CV294" s="11869"/>
      <c r="CW294" s="11870"/>
      <c r="CX294" s="11871"/>
      <c r="CY294" s="11872"/>
      <c r="CZ294" s="11873"/>
      <c r="DA294" s="11874"/>
      <c r="DB294" s="11875"/>
      <c r="DC294" s="11876"/>
      <c r="DD294" s="11877"/>
      <c r="DE294" s="11878"/>
      <c r="DF294" s="11879"/>
      <c r="DG294" s="11880"/>
      <c r="DH294" s="11881"/>
      <c r="DI294" s="11882"/>
      <c r="DJ294" s="11883"/>
      <c r="DK294" s="11884"/>
      <c r="DL294" s="11885"/>
      <c r="DM294" s="11886"/>
      <c r="DN294" s="11887"/>
      <c r="DO294" s="11888"/>
      <c r="DP294" s="11889"/>
      <c r="DQ294" s="11890"/>
      <c r="DR294" s="11891"/>
      <c r="DS294" s="11892"/>
      <c r="DT294" s="11893"/>
      <c r="DU294" s="11894"/>
      <c r="DV294" s="11895"/>
      <c r="DW294" s="11896"/>
      <c r="DX294" s="11897"/>
      <c r="DY294" s="11898"/>
      <c r="DZ294" s="11899"/>
      <c r="EA294" s="11900"/>
      <c r="EB294" s="11901"/>
      <c r="EC294" s="11902"/>
      <c r="ED294" s="11903"/>
      <c r="EE294" s="11904"/>
      <c r="EF294" s="11905"/>
      <c r="EG294" s="11906"/>
      <c r="EH294" s="11907"/>
      <c r="EI294" s="11908"/>
      <c r="EJ294" s="11909"/>
      <c r="EK294" s="11910"/>
      <c r="EL294" s="11911"/>
      <c r="EM294" s="15572"/>
      <c r="EN294" s="15573"/>
      <c r="EO294" s="15574"/>
      <c r="EP294" s="15575"/>
      <c r="EQ294" s="15576"/>
      <c r="ER294" s="15577"/>
      <c r="ES294" s="15578"/>
      <c r="ET294" s="15579"/>
      <c r="EU294" s="15580"/>
      <c r="EV294" s="15581"/>
      <c r="EW294" s="15582"/>
      <c r="EX294" s="11912"/>
      <c r="EY294" s="11913"/>
      <c r="EZ294" s="10500"/>
      <c r="FA294" s="10501"/>
      <c r="FB294" s="10501" t="str">
        <f t="shared" si="4"/>
        <v>Добавить группу потребителей</v>
      </c>
      <c r="FC294" s="10501"/>
      <c r="FD294" s="10501"/>
    </row>
    <row r="295" spans="1:160" s="15583" customFormat="1" ht="21" customHeight="1">
      <c r="A295" s="10490"/>
      <c r="B295" s="10490"/>
      <c r="C295" s="10490"/>
      <c r="D295" s="10490"/>
      <c r="E295" s="16125"/>
      <c r="F295" s="16125" t="s">
        <v>102</v>
      </c>
      <c r="G295" s="16125"/>
      <c r="H295" s="16124"/>
      <c r="I295" s="10490"/>
      <c r="J295" s="10490"/>
      <c r="K295" s="10490"/>
      <c r="L295" s="10491"/>
      <c r="M295" s="10492"/>
      <c r="N295" s="10492"/>
      <c r="O295" s="10772"/>
      <c r="P295" s="10494"/>
      <c r="Q295" s="10773"/>
      <c r="R295" s="10495"/>
      <c r="S295" s="11914"/>
      <c r="T295" s="11915" t="s">
        <v>623</v>
      </c>
      <c r="U295" s="11916"/>
      <c r="V295" s="11917"/>
      <c r="W295" s="11918"/>
      <c r="X295" s="11919"/>
      <c r="Y295" s="11920"/>
      <c r="Z295" s="11921"/>
      <c r="AA295" s="11922"/>
      <c r="AB295" s="11923"/>
      <c r="AC295" s="11924"/>
      <c r="AD295" s="11925"/>
      <c r="AE295" s="11926"/>
      <c r="AF295" s="11927"/>
      <c r="AG295" s="11928"/>
      <c r="AH295" s="11929"/>
      <c r="AI295" s="11930"/>
      <c r="AJ295" s="11931"/>
      <c r="AK295" s="11932"/>
      <c r="AL295" s="11933"/>
      <c r="AM295" s="11934"/>
      <c r="AN295" s="11935"/>
      <c r="AO295" s="11936"/>
      <c r="AP295" s="11937"/>
      <c r="AQ295" s="11938"/>
      <c r="AR295" s="11939"/>
      <c r="AS295" s="11940"/>
      <c r="AT295" s="11941"/>
      <c r="AU295" s="11942"/>
      <c r="AV295" s="11943"/>
      <c r="AW295" s="11944"/>
      <c r="AX295" s="11945"/>
      <c r="AY295" s="11946"/>
      <c r="AZ295" s="11947"/>
      <c r="BA295" s="11948"/>
      <c r="BB295" s="11949"/>
      <c r="BC295" s="11950"/>
      <c r="BD295" s="11951"/>
      <c r="BE295" s="11952"/>
      <c r="BF295" s="11953"/>
      <c r="BG295" s="11954"/>
      <c r="BH295" s="11955"/>
      <c r="BI295" s="11956"/>
      <c r="BJ295" s="11957"/>
      <c r="BK295" s="11958"/>
      <c r="BL295" s="11959"/>
      <c r="BM295" s="11960"/>
      <c r="BN295" s="11961"/>
      <c r="BO295" s="11962"/>
      <c r="BP295" s="11963"/>
      <c r="BQ295" s="11964"/>
      <c r="BR295" s="11965"/>
      <c r="BS295" s="11966"/>
      <c r="BT295" s="11967"/>
      <c r="BU295" s="11968"/>
      <c r="BV295" s="11969"/>
      <c r="BW295" s="11970"/>
      <c r="BX295" s="11971"/>
      <c r="BY295" s="11972"/>
      <c r="BZ295" s="11973"/>
      <c r="CA295" s="11974"/>
      <c r="CB295" s="11975"/>
      <c r="CC295" s="11976"/>
      <c r="CD295" s="11977"/>
      <c r="CE295" s="11978"/>
      <c r="CF295" s="11979"/>
      <c r="CG295" s="11980"/>
      <c r="CH295" s="11981"/>
      <c r="CI295" s="11982"/>
      <c r="CJ295" s="11983"/>
      <c r="CK295" s="11984"/>
      <c r="CL295" s="11985"/>
      <c r="CM295" s="11986"/>
      <c r="CN295" s="11987"/>
      <c r="CO295" s="11988"/>
      <c r="CP295" s="11989"/>
      <c r="CQ295" s="11990"/>
      <c r="CR295" s="11991"/>
      <c r="CS295" s="11992"/>
      <c r="CT295" s="11993"/>
      <c r="CU295" s="11994"/>
      <c r="CV295" s="11995"/>
      <c r="CW295" s="11996"/>
      <c r="CX295" s="11997"/>
      <c r="CY295" s="11998"/>
      <c r="CZ295" s="11999"/>
      <c r="DA295" s="12000"/>
      <c r="DB295" s="12001"/>
      <c r="DC295" s="12002"/>
      <c r="DD295" s="12003"/>
      <c r="DE295" s="12004"/>
      <c r="DF295" s="12005"/>
      <c r="DG295" s="12006"/>
      <c r="DH295" s="12007"/>
      <c r="DI295" s="12008"/>
      <c r="DJ295" s="12009"/>
      <c r="DK295" s="12010"/>
      <c r="DL295" s="12011"/>
      <c r="DM295" s="12012"/>
      <c r="DN295" s="12013"/>
      <c r="DO295" s="12014"/>
      <c r="DP295" s="12015"/>
      <c r="DQ295" s="12016"/>
      <c r="DR295" s="12017"/>
      <c r="DS295" s="12018"/>
      <c r="DT295" s="12019"/>
      <c r="DU295" s="12020"/>
      <c r="DV295" s="12021"/>
      <c r="DW295" s="12022"/>
      <c r="DX295" s="12023"/>
      <c r="DY295" s="12024"/>
      <c r="DZ295" s="12025"/>
      <c r="EA295" s="12026"/>
      <c r="EB295" s="12027"/>
      <c r="EC295" s="12028"/>
      <c r="ED295" s="12029"/>
      <c r="EE295" s="12030"/>
      <c r="EF295" s="12031"/>
      <c r="EG295" s="12032"/>
      <c r="EH295" s="12033"/>
      <c r="EI295" s="12034"/>
      <c r="EJ295" s="12035"/>
      <c r="EK295" s="12036"/>
      <c r="EL295" s="12037"/>
      <c r="EM295" s="15584"/>
      <c r="EN295" s="15585"/>
      <c r="EO295" s="15586"/>
      <c r="EP295" s="15587"/>
      <c r="EQ295" s="15588"/>
      <c r="ER295" s="15589"/>
      <c r="ES295" s="15590"/>
      <c r="ET295" s="15591"/>
      <c r="EU295" s="15592"/>
      <c r="EV295" s="15593"/>
      <c r="EW295" s="15594"/>
      <c r="EX295" s="12038"/>
      <c r="EY295" s="12039"/>
      <c r="EZ295" s="10500"/>
      <c r="FA295" s="10501"/>
      <c r="FB295" s="10501" t="str">
        <f t="shared" si="4"/>
        <v>Добавить наименование признака дифференциации</v>
      </c>
      <c r="FC295" s="10501"/>
      <c r="FD295" s="10501"/>
    </row>
    <row r="296" spans="1:160" s="15595" customFormat="1" ht="14.25" customHeight="1">
      <c r="A296" s="11277"/>
      <c r="B296" s="11277"/>
      <c r="C296" s="11277"/>
      <c r="D296" s="11277"/>
      <c r="E296" s="16125"/>
      <c r="F296" s="16124" t="s">
        <v>102</v>
      </c>
      <c r="G296" s="11277"/>
      <c r="H296" s="11277"/>
      <c r="I296" s="11277"/>
      <c r="J296" s="11277"/>
      <c r="K296" s="11277"/>
      <c r="L296" s="11278"/>
      <c r="M296" s="11279"/>
      <c r="N296" s="11279"/>
      <c r="O296" s="10500"/>
      <c r="P296" s="11280"/>
      <c r="Q296" s="11281"/>
      <c r="R296" s="11280"/>
      <c r="S296" s="11282"/>
      <c r="T296" s="11283" t="s">
        <v>290</v>
      </c>
      <c r="U296" s="11284"/>
      <c r="V296" s="11284"/>
      <c r="W296" s="11284"/>
      <c r="X296" s="11284"/>
      <c r="Y296" s="11284"/>
      <c r="Z296" s="11284"/>
      <c r="AA296" s="11284"/>
      <c r="AB296" s="11284"/>
      <c r="AC296" s="11284"/>
      <c r="AD296" s="11284"/>
      <c r="AE296" s="11284"/>
      <c r="AF296" s="11284"/>
      <c r="AG296" s="11284"/>
      <c r="AH296" s="11284"/>
      <c r="AI296" s="11284"/>
      <c r="AJ296" s="11284"/>
      <c r="AK296" s="11284"/>
      <c r="AL296" s="11284"/>
      <c r="AM296" s="11284"/>
      <c r="AN296" s="11284"/>
      <c r="AO296" s="11284"/>
      <c r="AP296" s="11284"/>
      <c r="AQ296" s="11284"/>
      <c r="AR296" s="11284"/>
      <c r="AS296" s="11284"/>
      <c r="AT296" s="11284"/>
      <c r="AU296" s="11284"/>
      <c r="AV296" s="11284"/>
      <c r="AW296" s="11284"/>
      <c r="AX296" s="11284"/>
      <c r="AY296" s="11284"/>
      <c r="AZ296" s="11284"/>
      <c r="BA296" s="11284"/>
      <c r="BB296" s="11284"/>
      <c r="BC296" s="11284"/>
      <c r="BD296" s="11284"/>
      <c r="BE296" s="11284"/>
      <c r="BF296" s="11284"/>
      <c r="BG296" s="11284"/>
      <c r="BH296" s="11284"/>
      <c r="BI296" s="11284"/>
      <c r="BJ296" s="11284"/>
      <c r="BK296" s="11284"/>
      <c r="BL296" s="11284"/>
      <c r="BM296" s="11284"/>
      <c r="BN296" s="11284"/>
      <c r="BO296" s="11284"/>
      <c r="BP296" s="11284"/>
      <c r="BQ296" s="11284"/>
      <c r="BR296" s="11284"/>
      <c r="BS296" s="11284"/>
      <c r="BT296" s="11284"/>
      <c r="BU296" s="11284"/>
      <c r="BV296" s="11284"/>
      <c r="BW296" s="11284"/>
      <c r="BX296" s="11284"/>
      <c r="BY296" s="11284"/>
      <c r="BZ296" s="11284"/>
      <c r="CA296" s="11284"/>
      <c r="CB296" s="11284"/>
      <c r="CC296" s="11284"/>
      <c r="CD296" s="11284"/>
      <c r="CE296" s="11284"/>
      <c r="CF296" s="11284"/>
      <c r="CG296" s="11284"/>
      <c r="CH296" s="11284"/>
      <c r="CI296" s="11284"/>
      <c r="CJ296" s="11284"/>
      <c r="CK296" s="11284"/>
      <c r="CL296" s="11284"/>
      <c r="CM296" s="11284"/>
      <c r="CN296" s="11284"/>
      <c r="CO296" s="11284"/>
      <c r="CP296" s="11284"/>
      <c r="CQ296" s="11284"/>
      <c r="CR296" s="11284"/>
      <c r="CS296" s="11284"/>
      <c r="CT296" s="11284"/>
      <c r="CU296" s="11284"/>
      <c r="CV296" s="11284"/>
      <c r="CW296" s="11284"/>
      <c r="CX296" s="11284"/>
      <c r="CY296" s="11284"/>
      <c r="CZ296" s="11284"/>
      <c r="DA296" s="11284"/>
      <c r="DB296" s="11284"/>
      <c r="DC296" s="11284"/>
      <c r="DD296" s="11284"/>
      <c r="DE296" s="11284"/>
      <c r="DF296" s="11284"/>
      <c r="DG296" s="11284"/>
      <c r="DH296" s="11284"/>
      <c r="DI296" s="11284"/>
      <c r="DJ296" s="11284"/>
      <c r="DK296" s="11284"/>
      <c r="DL296" s="11284"/>
      <c r="DM296" s="11284"/>
      <c r="DN296" s="11284"/>
      <c r="DO296" s="11284"/>
      <c r="DP296" s="11284"/>
      <c r="DQ296" s="11284"/>
      <c r="DR296" s="11284"/>
      <c r="DS296" s="11284"/>
      <c r="DT296" s="11284"/>
      <c r="DU296" s="11284"/>
      <c r="DV296" s="11284"/>
      <c r="DW296" s="11284"/>
      <c r="DX296" s="11284"/>
      <c r="DY296" s="11284"/>
      <c r="DZ296" s="11284"/>
      <c r="EA296" s="11284"/>
      <c r="EB296" s="11284"/>
      <c r="EC296" s="11284"/>
      <c r="ED296" s="11284"/>
      <c r="EE296" s="11284"/>
      <c r="EF296" s="11284"/>
      <c r="EG296" s="11284"/>
      <c r="EH296" s="11284"/>
      <c r="EI296" s="11284"/>
      <c r="EJ296" s="11284"/>
      <c r="EK296" s="11284"/>
      <c r="EL296" s="11285"/>
      <c r="EM296" s="14483"/>
      <c r="EN296" s="14483"/>
      <c r="EO296" s="14483"/>
      <c r="EP296" s="14483"/>
      <c r="EQ296" s="14483"/>
      <c r="ER296" s="14483"/>
      <c r="ES296" s="14483"/>
      <c r="ET296" s="14483"/>
      <c r="EU296" s="14483"/>
      <c r="EV296" s="14483"/>
      <c r="EW296" s="14483"/>
      <c r="EX296" s="11284"/>
      <c r="EY296" s="11284"/>
      <c r="EZ296" s="10500"/>
      <c r="FA296" s="10501"/>
      <c r="FB296" s="10501" t="str">
        <f t="shared" si="4"/>
        <v>Добавить централизованную систему для дифференциации</v>
      </c>
      <c r="FC296" s="10501"/>
      <c r="FD296" s="10501"/>
    </row>
    <row r="297" spans="1:160" s="15596" customFormat="1" ht="23.25" customHeight="1">
      <c r="A297" s="10490"/>
      <c r="B297" s="10490" t="s">
        <v>372</v>
      </c>
      <c r="C297" s="10490"/>
      <c r="D297" s="10490"/>
      <c r="E297" s="16125"/>
      <c r="F297" s="16124" t="s">
        <v>90</v>
      </c>
      <c r="G297" s="10490"/>
      <c r="H297" s="10490"/>
      <c r="I297" s="10490"/>
      <c r="J297" s="10490"/>
      <c r="K297" s="10490"/>
      <c r="L297" s="10491"/>
      <c r="M297" s="10492"/>
      <c r="N297" s="10492"/>
      <c r="O297" s="10492"/>
      <c r="P297" s="10502"/>
      <c r="Q297" s="10503"/>
      <c r="R297" s="10504"/>
      <c r="S297" s="10496" t="str">
        <f>INDEX(PT_DIFFERENTIATION_NUM_TER,MATCH(B297,PT_DIFFERENTIATION_TER_ID,0))</f>
        <v>3.4</v>
      </c>
      <c r="T297" s="10505" t="s">
        <v>534</v>
      </c>
      <c r="U297" s="10498"/>
      <c r="V297" s="16110"/>
      <c r="W297" s="16111"/>
      <c r="X297" s="16111"/>
      <c r="Y297" s="16111"/>
      <c r="Z297" s="16111"/>
      <c r="AA297" s="16111"/>
      <c r="AB297" s="16111"/>
      <c r="AC297" s="16111"/>
      <c r="AD297" s="16111"/>
      <c r="AE297" s="16111"/>
      <c r="AF297" s="16112"/>
      <c r="AG297" s="16110" t="str">
        <f>INDEX(PT_DIFFERENTIATION_TER,MATCH(B297,PT_DIFFERENTIATION_TER_ID,0))</f>
        <v>Территория 4</v>
      </c>
      <c r="AH297" s="16111"/>
      <c r="AI297" s="16111"/>
      <c r="AJ297" s="16111"/>
      <c r="AK297" s="16111"/>
      <c r="AL297" s="16111"/>
      <c r="AM297" s="16111"/>
      <c r="AN297" s="16111"/>
      <c r="AO297" s="16111"/>
      <c r="AP297" s="16111"/>
      <c r="AQ297" s="16111"/>
      <c r="AR297" s="16110"/>
      <c r="AS297" s="16111"/>
      <c r="AT297" s="16111"/>
      <c r="AU297" s="16111"/>
      <c r="AV297" s="16111"/>
      <c r="AW297" s="16111"/>
      <c r="AX297" s="16111"/>
      <c r="AY297" s="16111"/>
      <c r="AZ297" s="16111"/>
      <c r="BA297" s="16111"/>
      <c r="BB297" s="16112"/>
      <c r="BC297" s="16110"/>
      <c r="BD297" s="16111"/>
      <c r="BE297" s="16111"/>
      <c r="BF297" s="16111"/>
      <c r="BG297" s="16111"/>
      <c r="BH297" s="16111"/>
      <c r="BI297" s="16111"/>
      <c r="BJ297" s="16111"/>
      <c r="BK297" s="16111"/>
      <c r="BL297" s="16111"/>
      <c r="BM297" s="16112"/>
      <c r="BN297" s="16110"/>
      <c r="BO297" s="16111"/>
      <c r="BP297" s="16111"/>
      <c r="BQ297" s="16111"/>
      <c r="BR297" s="16111"/>
      <c r="BS297" s="16111"/>
      <c r="BT297" s="16111"/>
      <c r="BU297" s="16111"/>
      <c r="BV297" s="16111"/>
      <c r="BW297" s="16111"/>
      <c r="BX297" s="16112"/>
      <c r="BY297" s="16110"/>
      <c r="BZ297" s="16111"/>
      <c r="CA297" s="16111"/>
      <c r="CB297" s="16111"/>
      <c r="CC297" s="16111"/>
      <c r="CD297" s="16111"/>
      <c r="CE297" s="16111"/>
      <c r="CF297" s="16111"/>
      <c r="CG297" s="16111"/>
      <c r="CH297" s="16111"/>
      <c r="CI297" s="16112"/>
      <c r="CJ297" s="16110"/>
      <c r="CK297" s="16111"/>
      <c r="CL297" s="16111"/>
      <c r="CM297" s="16111"/>
      <c r="CN297" s="16111"/>
      <c r="CO297" s="16111"/>
      <c r="CP297" s="16111"/>
      <c r="CQ297" s="16111"/>
      <c r="CR297" s="16111"/>
      <c r="CS297" s="16111"/>
      <c r="CT297" s="16112"/>
      <c r="CU297" s="16110"/>
      <c r="CV297" s="16111"/>
      <c r="CW297" s="16111"/>
      <c r="CX297" s="16111"/>
      <c r="CY297" s="16111"/>
      <c r="CZ297" s="16111"/>
      <c r="DA297" s="16111"/>
      <c r="DB297" s="16111"/>
      <c r="DC297" s="16111"/>
      <c r="DD297" s="16111"/>
      <c r="DE297" s="16112"/>
      <c r="DF297" s="16110"/>
      <c r="DG297" s="16111"/>
      <c r="DH297" s="16111"/>
      <c r="DI297" s="16111"/>
      <c r="DJ297" s="16111"/>
      <c r="DK297" s="16111"/>
      <c r="DL297" s="16111"/>
      <c r="DM297" s="16111"/>
      <c r="DN297" s="16111"/>
      <c r="DO297" s="16111"/>
      <c r="DP297" s="16112"/>
      <c r="DQ297" s="16110"/>
      <c r="DR297" s="16111"/>
      <c r="DS297" s="16111"/>
      <c r="DT297" s="16111"/>
      <c r="DU297" s="16111"/>
      <c r="DV297" s="16111"/>
      <c r="DW297" s="16111"/>
      <c r="DX297" s="16111"/>
      <c r="DY297" s="16111"/>
      <c r="DZ297" s="16111"/>
      <c r="EA297" s="16112"/>
      <c r="EB297" s="16110"/>
      <c r="EC297" s="16111"/>
      <c r="ED297" s="16111"/>
      <c r="EE297" s="16111"/>
      <c r="EF297" s="16111"/>
      <c r="EG297" s="16111"/>
      <c r="EH297" s="16111"/>
      <c r="EI297" s="16111"/>
      <c r="EJ297" s="16111"/>
      <c r="EK297" s="16111"/>
      <c r="EL297" s="16199"/>
      <c r="EM297" s="16110"/>
      <c r="EN297" s="16111"/>
      <c r="EO297" s="16111"/>
      <c r="EP297" s="16111"/>
      <c r="EQ297" s="16111"/>
      <c r="ER297" s="16111"/>
      <c r="ES297" s="16111"/>
      <c r="ET297" s="16111"/>
      <c r="EU297" s="16111"/>
      <c r="EV297" s="16111"/>
      <c r="EW297" s="16112"/>
      <c r="EX297" s="16112"/>
      <c r="EY297" s="10499" t="s">
        <v>535</v>
      </c>
      <c r="EZ297" s="10500"/>
      <c r="FA297" s="10501"/>
      <c r="FB297" s="10501" t="str">
        <f t="shared" si="4"/>
        <v>Территория действия тарифа</v>
      </c>
      <c r="FC297" s="10501"/>
      <c r="FD297" s="10501"/>
    </row>
    <row r="298" spans="1:160" s="15597" customFormat="1" ht="23.25" customHeight="1">
      <c r="A298" s="10490"/>
      <c r="B298" s="10490"/>
      <c r="C298" s="10490" t="s">
        <v>373</v>
      </c>
      <c r="D298" s="10490"/>
      <c r="E298" s="16125"/>
      <c r="F298" s="16125" t="s">
        <v>89</v>
      </c>
      <c r="G298" s="16124">
        <v>1</v>
      </c>
      <c r="H298" s="10490"/>
      <c r="I298" s="10490"/>
      <c r="J298" s="10490"/>
      <c r="K298" s="10490"/>
      <c r="L298" s="10491"/>
      <c r="M298" s="10492"/>
      <c r="N298" s="10492"/>
      <c r="O298" s="10492"/>
      <c r="P298" s="10506"/>
      <c r="Q298" s="10503"/>
      <c r="R298" s="10504"/>
      <c r="S298" s="10496" t="str">
        <f>INDEX(PT_DIFFERENTIATION_NUM_CS,MATCH(C298,PT_DIFFERENTIATION_CS_ID,0))</f>
        <v>3.4.1</v>
      </c>
      <c r="T298" s="10507" t="s">
        <v>665</v>
      </c>
      <c r="U298" s="10498"/>
      <c r="V298" s="16110"/>
      <c r="W298" s="16111"/>
      <c r="X298" s="16111"/>
      <c r="Y298" s="16111"/>
      <c r="Z298" s="16111"/>
      <c r="AA298" s="16111"/>
      <c r="AB298" s="16111"/>
      <c r="AC298" s="16111"/>
      <c r="AD298" s="16111"/>
      <c r="AE298" s="16111"/>
      <c r="AF298" s="16112"/>
      <c r="AG298" s="16110" t="str">
        <f>INDEX(PT_DIFFERENTIATION_CS,MATCH(C298,PT_DIFFERENTIATION_CS_ID,0))</f>
        <v>без дифференциации</v>
      </c>
      <c r="AH298" s="16111"/>
      <c r="AI298" s="16111"/>
      <c r="AJ298" s="16111"/>
      <c r="AK298" s="16111"/>
      <c r="AL298" s="16111"/>
      <c r="AM298" s="16111"/>
      <c r="AN298" s="16111"/>
      <c r="AO298" s="16111"/>
      <c r="AP298" s="16111"/>
      <c r="AQ298" s="16111"/>
      <c r="AR298" s="16110"/>
      <c r="AS298" s="16111"/>
      <c r="AT298" s="16111"/>
      <c r="AU298" s="16111"/>
      <c r="AV298" s="16111"/>
      <c r="AW298" s="16111"/>
      <c r="AX298" s="16111"/>
      <c r="AY298" s="16111"/>
      <c r="AZ298" s="16111"/>
      <c r="BA298" s="16111"/>
      <c r="BB298" s="16112"/>
      <c r="BC298" s="16110"/>
      <c r="BD298" s="16111"/>
      <c r="BE298" s="16111"/>
      <c r="BF298" s="16111"/>
      <c r="BG298" s="16111"/>
      <c r="BH298" s="16111"/>
      <c r="BI298" s="16111"/>
      <c r="BJ298" s="16111"/>
      <c r="BK298" s="16111"/>
      <c r="BL298" s="16111"/>
      <c r="BM298" s="16112"/>
      <c r="BN298" s="16110"/>
      <c r="BO298" s="16111"/>
      <c r="BP298" s="16111"/>
      <c r="BQ298" s="16111"/>
      <c r="BR298" s="16111"/>
      <c r="BS298" s="16111"/>
      <c r="BT298" s="16111"/>
      <c r="BU298" s="16111"/>
      <c r="BV298" s="16111"/>
      <c r="BW298" s="16111"/>
      <c r="BX298" s="16112"/>
      <c r="BY298" s="16110"/>
      <c r="BZ298" s="16111"/>
      <c r="CA298" s="16111"/>
      <c r="CB298" s="16111"/>
      <c r="CC298" s="16111"/>
      <c r="CD298" s="16111"/>
      <c r="CE298" s="16111"/>
      <c r="CF298" s="16111"/>
      <c r="CG298" s="16111"/>
      <c r="CH298" s="16111"/>
      <c r="CI298" s="16112"/>
      <c r="CJ298" s="16110"/>
      <c r="CK298" s="16111"/>
      <c r="CL298" s="16111"/>
      <c r="CM298" s="16111"/>
      <c r="CN298" s="16111"/>
      <c r="CO298" s="16111"/>
      <c r="CP298" s="16111"/>
      <c r="CQ298" s="16111"/>
      <c r="CR298" s="16111"/>
      <c r="CS298" s="16111"/>
      <c r="CT298" s="16112"/>
      <c r="CU298" s="16110"/>
      <c r="CV298" s="16111"/>
      <c r="CW298" s="16111"/>
      <c r="CX298" s="16111"/>
      <c r="CY298" s="16111"/>
      <c r="CZ298" s="16111"/>
      <c r="DA298" s="16111"/>
      <c r="DB298" s="16111"/>
      <c r="DC298" s="16111"/>
      <c r="DD298" s="16111"/>
      <c r="DE298" s="16112"/>
      <c r="DF298" s="16110"/>
      <c r="DG298" s="16111"/>
      <c r="DH298" s="16111"/>
      <c r="DI298" s="16111"/>
      <c r="DJ298" s="16111"/>
      <c r="DK298" s="16111"/>
      <c r="DL298" s="16111"/>
      <c r="DM298" s="16111"/>
      <c r="DN298" s="16111"/>
      <c r="DO298" s="16111"/>
      <c r="DP298" s="16112"/>
      <c r="DQ298" s="16110"/>
      <c r="DR298" s="16111"/>
      <c r="DS298" s="16111"/>
      <c r="DT298" s="16111"/>
      <c r="DU298" s="16111"/>
      <c r="DV298" s="16111"/>
      <c r="DW298" s="16111"/>
      <c r="DX298" s="16111"/>
      <c r="DY298" s="16111"/>
      <c r="DZ298" s="16111"/>
      <c r="EA298" s="16112"/>
      <c r="EB298" s="16110"/>
      <c r="EC298" s="16111"/>
      <c r="ED298" s="16111"/>
      <c r="EE298" s="16111"/>
      <c r="EF298" s="16111"/>
      <c r="EG298" s="16111"/>
      <c r="EH298" s="16111"/>
      <c r="EI298" s="16111"/>
      <c r="EJ298" s="16111"/>
      <c r="EK298" s="16111"/>
      <c r="EL298" s="16199"/>
      <c r="EM298" s="16110"/>
      <c r="EN298" s="16111"/>
      <c r="EO298" s="16111"/>
      <c r="EP298" s="16111"/>
      <c r="EQ298" s="16111"/>
      <c r="ER298" s="16111"/>
      <c r="ES298" s="16111"/>
      <c r="ET298" s="16111"/>
      <c r="EU298" s="16111"/>
      <c r="EV298" s="16111"/>
      <c r="EW298" s="16112"/>
      <c r="EX298" s="16112"/>
      <c r="EY298" s="10499" t="s">
        <v>666</v>
      </c>
      <c r="EZ298" s="10500"/>
      <c r="FA298" s="10501"/>
      <c r="FB298" s="10501" t="str">
        <f t="shared" ref="FB298:FB358" si="5">IF(T298="","",T298)</f>
        <v>Наименование централизованной системы горячего водоснабжения</v>
      </c>
      <c r="FC298" s="10501"/>
      <c r="FD298" s="10501"/>
    </row>
    <row r="299" spans="1:160" s="15598" customFormat="1" ht="23.25" customHeight="1">
      <c r="A299" s="10490"/>
      <c r="B299" s="10490"/>
      <c r="C299" s="10490"/>
      <c r="D299" s="10490"/>
      <c r="E299" s="16125"/>
      <c r="F299" s="16125" t="s">
        <v>89</v>
      </c>
      <c r="G299" s="16125"/>
      <c r="H299" s="16125"/>
      <c r="I299" s="16122" t="str">
        <f>S298&amp;".1"</f>
        <v>3.4.1.1</v>
      </c>
      <c r="J299" s="10490"/>
      <c r="K299" s="10490"/>
      <c r="L299" s="10491"/>
      <c r="M299" s="10508"/>
      <c r="N299" s="10508"/>
      <c r="O299" s="10508"/>
      <c r="P299" s="16123">
        <v>1</v>
      </c>
      <c r="Q299" s="10509"/>
      <c r="R299" s="10510"/>
      <c r="S299" s="10496" t="str">
        <f>$I299</f>
        <v>3.4.1.1</v>
      </c>
      <c r="T299" s="10511" t="s">
        <v>618</v>
      </c>
      <c r="U299" s="10498"/>
      <c r="V299" s="16183"/>
      <c r="W299" s="16184"/>
      <c r="X299" s="16184"/>
      <c r="Y299" s="16184"/>
      <c r="Z299" s="16184"/>
      <c r="AA299" s="16184"/>
      <c r="AB299" s="16184"/>
      <c r="AC299" s="16184"/>
      <c r="AD299" s="16184"/>
      <c r="AE299" s="16184"/>
      <c r="AF299" s="16185"/>
      <c r="AG299" s="16186"/>
      <c r="AH299" s="16187"/>
      <c r="AI299" s="16187"/>
      <c r="AJ299" s="16187"/>
      <c r="AK299" s="16187"/>
      <c r="AL299" s="16187"/>
      <c r="AM299" s="16187"/>
      <c r="AN299" s="16187"/>
      <c r="AO299" s="16187"/>
      <c r="AP299" s="16187"/>
      <c r="AQ299" s="16187"/>
      <c r="AR299" s="16183"/>
      <c r="AS299" s="16184"/>
      <c r="AT299" s="16184"/>
      <c r="AU299" s="16184"/>
      <c r="AV299" s="16184"/>
      <c r="AW299" s="16184"/>
      <c r="AX299" s="16184"/>
      <c r="AY299" s="16184"/>
      <c r="AZ299" s="16184"/>
      <c r="BA299" s="16184"/>
      <c r="BB299" s="16185"/>
      <c r="BC299" s="16183"/>
      <c r="BD299" s="16184"/>
      <c r="BE299" s="16184"/>
      <c r="BF299" s="16184"/>
      <c r="BG299" s="16184"/>
      <c r="BH299" s="16184"/>
      <c r="BI299" s="16184"/>
      <c r="BJ299" s="16184"/>
      <c r="BK299" s="16184"/>
      <c r="BL299" s="16184"/>
      <c r="BM299" s="16185"/>
      <c r="BN299" s="16183"/>
      <c r="BO299" s="16184"/>
      <c r="BP299" s="16184"/>
      <c r="BQ299" s="16184"/>
      <c r="BR299" s="16184"/>
      <c r="BS299" s="16184"/>
      <c r="BT299" s="16184"/>
      <c r="BU299" s="16184"/>
      <c r="BV299" s="16184"/>
      <c r="BW299" s="16184"/>
      <c r="BX299" s="16185"/>
      <c r="BY299" s="16183"/>
      <c r="BZ299" s="16184"/>
      <c r="CA299" s="16184"/>
      <c r="CB299" s="16184"/>
      <c r="CC299" s="16184"/>
      <c r="CD299" s="16184"/>
      <c r="CE299" s="16184"/>
      <c r="CF299" s="16184"/>
      <c r="CG299" s="16184"/>
      <c r="CH299" s="16184"/>
      <c r="CI299" s="16185"/>
      <c r="CJ299" s="16183"/>
      <c r="CK299" s="16184"/>
      <c r="CL299" s="16184"/>
      <c r="CM299" s="16184"/>
      <c r="CN299" s="16184"/>
      <c r="CO299" s="16184"/>
      <c r="CP299" s="16184"/>
      <c r="CQ299" s="16184"/>
      <c r="CR299" s="16184"/>
      <c r="CS299" s="16184"/>
      <c r="CT299" s="16185"/>
      <c r="CU299" s="16183"/>
      <c r="CV299" s="16184"/>
      <c r="CW299" s="16184"/>
      <c r="CX299" s="16184"/>
      <c r="CY299" s="16184"/>
      <c r="CZ299" s="16184"/>
      <c r="DA299" s="16184"/>
      <c r="DB299" s="16184"/>
      <c r="DC299" s="16184"/>
      <c r="DD299" s="16184"/>
      <c r="DE299" s="16185"/>
      <c r="DF299" s="16183"/>
      <c r="DG299" s="16184"/>
      <c r="DH299" s="16184"/>
      <c r="DI299" s="16184"/>
      <c r="DJ299" s="16184"/>
      <c r="DK299" s="16184"/>
      <c r="DL299" s="16184"/>
      <c r="DM299" s="16184"/>
      <c r="DN299" s="16184"/>
      <c r="DO299" s="16184"/>
      <c r="DP299" s="16185"/>
      <c r="DQ299" s="16183"/>
      <c r="DR299" s="16184"/>
      <c r="DS299" s="16184"/>
      <c r="DT299" s="16184"/>
      <c r="DU299" s="16184"/>
      <c r="DV299" s="16184"/>
      <c r="DW299" s="16184"/>
      <c r="DX299" s="16184"/>
      <c r="DY299" s="16184"/>
      <c r="DZ299" s="16184"/>
      <c r="EA299" s="16185"/>
      <c r="EB299" s="16183"/>
      <c r="EC299" s="16184"/>
      <c r="ED299" s="16184"/>
      <c r="EE299" s="16184"/>
      <c r="EF299" s="16184"/>
      <c r="EG299" s="16184"/>
      <c r="EH299" s="16184"/>
      <c r="EI299" s="16184"/>
      <c r="EJ299" s="16184"/>
      <c r="EK299" s="16184"/>
      <c r="EL299" s="16200"/>
      <c r="EM299" s="16183"/>
      <c r="EN299" s="16184"/>
      <c r="EO299" s="16184"/>
      <c r="EP299" s="16184"/>
      <c r="EQ299" s="16184"/>
      <c r="ER299" s="16184"/>
      <c r="ES299" s="16184"/>
      <c r="ET299" s="16184"/>
      <c r="EU299" s="16184"/>
      <c r="EV299" s="16184"/>
      <c r="EW299" s="16185"/>
      <c r="EX299" s="16188"/>
      <c r="EY299" s="10499" t="s">
        <v>619</v>
      </c>
      <c r="EZ299" s="10500"/>
      <c r="FA299" s="10501"/>
      <c r="FB299" s="10501" t="str">
        <f t="shared" si="5"/>
        <v>Наименование признака дифференциации</v>
      </c>
      <c r="FC299" s="10501"/>
      <c r="FD299" s="10501"/>
    </row>
    <row r="300" spans="1:160" s="15599" customFormat="1" ht="23.25" customHeight="1">
      <c r="A300" s="10490"/>
      <c r="B300" s="10490"/>
      <c r="C300" s="10490"/>
      <c r="D300" s="10490"/>
      <c r="E300" s="16125"/>
      <c r="F300" s="16125" t="s">
        <v>89</v>
      </c>
      <c r="G300" s="16125"/>
      <c r="H300" s="16125"/>
      <c r="I300" s="16145"/>
      <c r="J300" s="16122" t="str">
        <f>I299&amp;".1"</f>
        <v>3.4.1.1.1</v>
      </c>
      <c r="K300" s="10490"/>
      <c r="L300" s="10491" t="s">
        <v>543</v>
      </c>
      <c r="M300" s="10508"/>
      <c r="N300" s="10508"/>
      <c r="O300" s="10508"/>
      <c r="P300" s="16123"/>
      <c r="Q300" s="16123">
        <v>1</v>
      </c>
      <c r="R300" s="10512"/>
      <c r="S300" s="10496" t="str">
        <f>$J300</f>
        <v>3.4.1.1.1</v>
      </c>
      <c r="T300" s="10513" t="s">
        <v>544</v>
      </c>
      <c r="U300" s="10498"/>
      <c r="V300" s="16113"/>
      <c r="W300" s="16114"/>
      <c r="X300" s="16114"/>
      <c r="Y300" s="16114"/>
      <c r="Z300" s="16114"/>
      <c r="AA300" s="16114"/>
      <c r="AB300" s="16114"/>
      <c r="AC300" s="16114"/>
      <c r="AD300" s="16114"/>
      <c r="AE300" s="16114"/>
      <c r="AF300" s="16115"/>
      <c r="AG300" s="16113" t="s">
        <v>679</v>
      </c>
      <c r="AH300" s="16114"/>
      <c r="AI300" s="16114"/>
      <c r="AJ300" s="16114"/>
      <c r="AK300" s="16114"/>
      <c r="AL300" s="16114"/>
      <c r="AM300" s="16114"/>
      <c r="AN300" s="16114"/>
      <c r="AO300" s="16114"/>
      <c r="AP300" s="16114"/>
      <c r="AQ300" s="16114"/>
      <c r="AR300" s="16113"/>
      <c r="AS300" s="16114"/>
      <c r="AT300" s="16114"/>
      <c r="AU300" s="16114"/>
      <c r="AV300" s="16114"/>
      <c r="AW300" s="16114"/>
      <c r="AX300" s="16114"/>
      <c r="AY300" s="16114"/>
      <c r="AZ300" s="16114"/>
      <c r="BA300" s="16114"/>
      <c r="BB300" s="16115"/>
      <c r="BC300" s="16113"/>
      <c r="BD300" s="16114"/>
      <c r="BE300" s="16114"/>
      <c r="BF300" s="16114"/>
      <c r="BG300" s="16114"/>
      <c r="BH300" s="16114"/>
      <c r="BI300" s="16114"/>
      <c r="BJ300" s="16114"/>
      <c r="BK300" s="16114"/>
      <c r="BL300" s="16114"/>
      <c r="BM300" s="16115"/>
      <c r="BN300" s="16113"/>
      <c r="BO300" s="16114"/>
      <c r="BP300" s="16114"/>
      <c r="BQ300" s="16114"/>
      <c r="BR300" s="16114"/>
      <c r="BS300" s="16114"/>
      <c r="BT300" s="16114"/>
      <c r="BU300" s="16114"/>
      <c r="BV300" s="16114"/>
      <c r="BW300" s="16114"/>
      <c r="BX300" s="16115"/>
      <c r="BY300" s="16113"/>
      <c r="BZ300" s="16114"/>
      <c r="CA300" s="16114"/>
      <c r="CB300" s="16114"/>
      <c r="CC300" s="16114"/>
      <c r="CD300" s="16114"/>
      <c r="CE300" s="16114"/>
      <c r="CF300" s="16114"/>
      <c r="CG300" s="16114"/>
      <c r="CH300" s="16114"/>
      <c r="CI300" s="16115"/>
      <c r="CJ300" s="16113"/>
      <c r="CK300" s="16114"/>
      <c r="CL300" s="16114"/>
      <c r="CM300" s="16114"/>
      <c r="CN300" s="16114"/>
      <c r="CO300" s="16114"/>
      <c r="CP300" s="16114"/>
      <c r="CQ300" s="16114"/>
      <c r="CR300" s="16114"/>
      <c r="CS300" s="16114"/>
      <c r="CT300" s="16115"/>
      <c r="CU300" s="16113"/>
      <c r="CV300" s="16114"/>
      <c r="CW300" s="16114"/>
      <c r="CX300" s="16114"/>
      <c r="CY300" s="16114"/>
      <c r="CZ300" s="16114"/>
      <c r="DA300" s="16114"/>
      <c r="DB300" s="16114"/>
      <c r="DC300" s="16114"/>
      <c r="DD300" s="16114"/>
      <c r="DE300" s="16115"/>
      <c r="DF300" s="16113"/>
      <c r="DG300" s="16114"/>
      <c r="DH300" s="16114"/>
      <c r="DI300" s="16114"/>
      <c r="DJ300" s="16114"/>
      <c r="DK300" s="16114"/>
      <c r="DL300" s="16114"/>
      <c r="DM300" s="16114"/>
      <c r="DN300" s="16114"/>
      <c r="DO300" s="16114"/>
      <c r="DP300" s="16115"/>
      <c r="DQ300" s="16113"/>
      <c r="DR300" s="16114"/>
      <c r="DS300" s="16114"/>
      <c r="DT300" s="16114"/>
      <c r="DU300" s="16114"/>
      <c r="DV300" s="16114"/>
      <c r="DW300" s="16114"/>
      <c r="DX300" s="16114"/>
      <c r="DY300" s="16114"/>
      <c r="DZ300" s="16114"/>
      <c r="EA300" s="16115"/>
      <c r="EB300" s="16113"/>
      <c r="EC300" s="16114"/>
      <c r="ED300" s="16114"/>
      <c r="EE300" s="16114"/>
      <c r="EF300" s="16114"/>
      <c r="EG300" s="16114"/>
      <c r="EH300" s="16114"/>
      <c r="EI300" s="16114"/>
      <c r="EJ300" s="16114"/>
      <c r="EK300" s="16114"/>
      <c r="EL300" s="16201"/>
      <c r="EM300" s="16113"/>
      <c r="EN300" s="16114"/>
      <c r="EO300" s="16114"/>
      <c r="EP300" s="16114"/>
      <c r="EQ300" s="16114"/>
      <c r="ER300" s="16114"/>
      <c r="ES300" s="16114"/>
      <c r="ET300" s="16114"/>
      <c r="EU300" s="16114"/>
      <c r="EV300" s="16114"/>
      <c r="EW300" s="16115"/>
      <c r="EX300" s="16115"/>
      <c r="EY300" s="10514" t="s">
        <v>620</v>
      </c>
      <c r="EZ300" s="10500"/>
      <c r="FA300" s="10501"/>
      <c r="FB300" s="10501" t="str">
        <f t="shared" si="5"/>
        <v>Группа потребителей</v>
      </c>
      <c r="FC300" s="10501"/>
      <c r="FD300" s="10501"/>
    </row>
    <row r="301" spans="1:160" s="15600" customFormat="1" ht="23.25" customHeight="1">
      <c r="A301" s="10490"/>
      <c r="B301" s="10490"/>
      <c r="C301" s="10490"/>
      <c r="D301" s="10490"/>
      <c r="E301" s="16125"/>
      <c r="F301" s="16125" t="s">
        <v>89</v>
      </c>
      <c r="G301" s="16125"/>
      <c r="H301" s="16125"/>
      <c r="I301" s="16145"/>
      <c r="J301" s="16145"/>
      <c r="K301" s="16122" t="str">
        <f>J300&amp;".1"</f>
        <v>3.4.1.1.1.1</v>
      </c>
      <c r="L301" s="10491"/>
      <c r="M301" s="10508"/>
      <c r="N301" s="10508"/>
      <c r="O301" s="10508"/>
      <c r="P301" s="16123"/>
      <c r="Q301" s="16123"/>
      <c r="R301" s="10512">
        <v>1</v>
      </c>
      <c r="S301" s="10496" t="str">
        <f>$K301</f>
        <v>3.4.1.1.1.1</v>
      </c>
      <c r="T301" s="10515"/>
      <c r="U301" s="10498"/>
      <c r="V301" s="10516"/>
      <c r="W301" s="10516"/>
      <c r="X301" s="10516"/>
      <c r="Y301" s="10516"/>
      <c r="Z301" s="10516"/>
      <c r="AA301" s="10516"/>
      <c r="AB301" s="10516"/>
      <c r="AC301" s="16127"/>
      <c r="AD301" s="15973" t="s">
        <v>66</v>
      </c>
      <c r="AE301" s="16127"/>
      <c r="AF301" s="15973" t="s">
        <v>66</v>
      </c>
      <c r="AG301" s="10516">
        <v>155.94</v>
      </c>
      <c r="AH301" s="10516"/>
      <c r="AI301" s="10516"/>
      <c r="AJ301" s="10516"/>
      <c r="AK301" s="10516">
        <v>5165.13</v>
      </c>
      <c r="AL301" s="10516"/>
      <c r="AM301" s="10516"/>
      <c r="AN301" s="16127">
        <v>45292</v>
      </c>
      <c r="AO301" s="15973" t="s">
        <v>66</v>
      </c>
      <c r="AP301" s="16146">
        <v>45378</v>
      </c>
      <c r="AQ301" s="15973" t="s">
        <v>66</v>
      </c>
      <c r="AR301" s="10516">
        <v>163.06</v>
      </c>
      <c r="AS301" s="10516"/>
      <c r="AT301" s="10516"/>
      <c r="AU301" s="10516"/>
      <c r="AV301" s="10516">
        <v>5165.13</v>
      </c>
      <c r="AW301" s="10516"/>
      <c r="AX301" s="10516"/>
      <c r="AY301" s="16127">
        <v>45379</v>
      </c>
      <c r="AZ301" s="15973" t="s">
        <v>66</v>
      </c>
      <c r="BA301" s="16127">
        <v>45473</v>
      </c>
      <c r="BB301" s="15973" t="s">
        <v>66</v>
      </c>
      <c r="BC301" s="10516">
        <v>163.06</v>
      </c>
      <c r="BD301" s="10516"/>
      <c r="BE301" s="10516"/>
      <c r="BF301" s="10516"/>
      <c r="BG301" s="10516">
        <v>5493.65</v>
      </c>
      <c r="BH301" s="10516"/>
      <c r="BI301" s="10516"/>
      <c r="BJ301" s="16127">
        <v>45474</v>
      </c>
      <c r="BK301" s="15973" t="s">
        <v>66</v>
      </c>
      <c r="BL301" s="16127">
        <v>45657</v>
      </c>
      <c r="BM301" s="15973" t="s">
        <v>66</v>
      </c>
      <c r="BN301" s="10516">
        <v>148.08000000000001</v>
      </c>
      <c r="BO301" s="10516"/>
      <c r="BP301" s="10516"/>
      <c r="BQ301" s="10516"/>
      <c r="BR301" s="10516">
        <v>5407.73</v>
      </c>
      <c r="BS301" s="10516"/>
      <c r="BT301" s="10516"/>
      <c r="BU301" s="16127">
        <v>45658</v>
      </c>
      <c r="BV301" s="15973" t="s">
        <v>66</v>
      </c>
      <c r="BW301" s="16127">
        <v>45838</v>
      </c>
      <c r="BX301" s="15973" t="s">
        <v>66</v>
      </c>
      <c r="BY301" s="10516">
        <v>148.19999999999999</v>
      </c>
      <c r="BZ301" s="10516"/>
      <c r="CA301" s="10516"/>
      <c r="CB301" s="10516"/>
      <c r="CC301" s="10516">
        <v>5407.73</v>
      </c>
      <c r="CD301" s="10516"/>
      <c r="CE301" s="10516"/>
      <c r="CF301" s="16127">
        <v>45839</v>
      </c>
      <c r="CG301" s="15973" t="s">
        <v>66</v>
      </c>
      <c r="CH301" s="16127">
        <v>46022</v>
      </c>
      <c r="CI301" s="15973" t="s">
        <v>66</v>
      </c>
      <c r="CJ301" s="10516">
        <v>148.19999999999999</v>
      </c>
      <c r="CK301" s="10516"/>
      <c r="CL301" s="10516"/>
      <c r="CM301" s="10516"/>
      <c r="CN301" s="10516">
        <v>5407.73</v>
      </c>
      <c r="CO301" s="10516"/>
      <c r="CP301" s="10516"/>
      <c r="CQ301" s="16127">
        <v>46023</v>
      </c>
      <c r="CR301" s="15973" t="s">
        <v>66</v>
      </c>
      <c r="CS301" s="16127">
        <v>46203</v>
      </c>
      <c r="CT301" s="15973" t="s">
        <v>66</v>
      </c>
      <c r="CU301" s="10516">
        <v>154.91</v>
      </c>
      <c r="CV301" s="10516"/>
      <c r="CW301" s="10516"/>
      <c r="CX301" s="10516"/>
      <c r="CY301" s="10516">
        <v>5624.04</v>
      </c>
      <c r="CZ301" s="10516"/>
      <c r="DA301" s="10516"/>
      <c r="DB301" s="16127">
        <v>46204</v>
      </c>
      <c r="DC301" s="15973" t="s">
        <v>66</v>
      </c>
      <c r="DD301" s="16127">
        <v>46387</v>
      </c>
      <c r="DE301" s="15973" t="s">
        <v>66</v>
      </c>
      <c r="DF301" s="10516">
        <v>154.91</v>
      </c>
      <c r="DG301" s="10516"/>
      <c r="DH301" s="10516"/>
      <c r="DI301" s="10516"/>
      <c r="DJ301" s="10516">
        <v>5624.04</v>
      </c>
      <c r="DK301" s="10516"/>
      <c r="DL301" s="10516"/>
      <c r="DM301" s="16127">
        <v>46388</v>
      </c>
      <c r="DN301" s="15973" t="s">
        <v>66</v>
      </c>
      <c r="DO301" s="16127">
        <v>46568</v>
      </c>
      <c r="DP301" s="15973" t="s">
        <v>66</v>
      </c>
      <c r="DQ301" s="10516">
        <v>161.11000000000001</v>
      </c>
      <c r="DR301" s="10516"/>
      <c r="DS301" s="10516"/>
      <c r="DT301" s="10516"/>
      <c r="DU301" s="10516">
        <v>5728.66</v>
      </c>
      <c r="DV301" s="10516"/>
      <c r="DW301" s="10516"/>
      <c r="DX301" s="16127">
        <v>46569</v>
      </c>
      <c r="DY301" s="15973" t="s">
        <v>66</v>
      </c>
      <c r="DZ301" s="16127">
        <v>46752</v>
      </c>
      <c r="EA301" s="15973" t="s">
        <v>66</v>
      </c>
      <c r="EB301" s="10516">
        <v>161.11000000000001</v>
      </c>
      <c r="EC301" s="10516"/>
      <c r="ED301" s="10516"/>
      <c r="EE301" s="10516"/>
      <c r="EF301" s="10516">
        <v>5728.66</v>
      </c>
      <c r="EG301" s="10516"/>
      <c r="EH301" s="10516"/>
      <c r="EI301" s="16127">
        <v>46753</v>
      </c>
      <c r="EJ301" s="15973" t="s">
        <v>66</v>
      </c>
      <c r="EK301" s="16127">
        <v>46934</v>
      </c>
      <c r="EL301" s="16202" t="s">
        <v>66</v>
      </c>
      <c r="EM301" s="14448">
        <v>167.55</v>
      </c>
      <c r="EN301" s="14448"/>
      <c r="EO301" s="14448"/>
      <c r="EP301" s="14448"/>
      <c r="EQ301" s="14448">
        <v>5924.41</v>
      </c>
      <c r="ER301" s="14448"/>
      <c r="ES301" s="14448"/>
      <c r="ET301" s="16127">
        <v>46935</v>
      </c>
      <c r="EU301" s="15973" t="s">
        <v>66</v>
      </c>
      <c r="EV301" s="16127">
        <v>47118</v>
      </c>
      <c r="EW301" s="15973" t="s">
        <v>66</v>
      </c>
      <c r="EX301" s="10517"/>
      <c r="EY30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301" s="10500" t="e">
        <f ca="1">STRCHECKDATE(V302:EX302)</f>
        <v>#NAME?</v>
      </c>
      <c r="FA301" s="10501"/>
      <c r="FB301" s="10501" t="str">
        <f t="shared" si="5"/>
        <v/>
      </c>
      <c r="FC301" s="10501"/>
      <c r="FD301" s="10501"/>
    </row>
    <row r="302" spans="1:160" s="15601" customFormat="1" ht="14.25" customHeight="1">
      <c r="A302" s="10490"/>
      <c r="B302" s="10490"/>
      <c r="C302" s="10490"/>
      <c r="D302" s="10490"/>
      <c r="E302" s="16125"/>
      <c r="F302" s="16125" t="s">
        <v>89</v>
      </c>
      <c r="G302" s="16125"/>
      <c r="H302" s="16125"/>
      <c r="I302" s="16145"/>
      <c r="J302" s="16145"/>
      <c r="K302" s="16122"/>
      <c r="L302" s="10491"/>
      <c r="M302" s="10508"/>
      <c r="N302" s="10508"/>
      <c r="O302" s="10508"/>
      <c r="P302" s="16123"/>
      <c r="Q302" s="16123"/>
      <c r="R302" s="10512"/>
      <c r="S302" s="10518"/>
      <c r="T302" s="10498"/>
      <c r="U302" s="10498"/>
      <c r="V302" s="10519"/>
      <c r="W302" s="10519"/>
      <c r="X302" s="10519"/>
      <c r="Y302" s="10519"/>
      <c r="Z302" s="10519"/>
      <c r="AA302" s="10519"/>
      <c r="AB302" s="10519"/>
      <c r="AC302" s="16128"/>
      <c r="AD302" s="15973"/>
      <c r="AE302" s="16128"/>
      <c r="AF302" s="15973"/>
      <c r="AG302" s="10519"/>
      <c r="AH302" s="10519"/>
      <c r="AI302" s="10519"/>
      <c r="AJ302" s="10519"/>
      <c r="AK302" s="10519"/>
      <c r="AL302" s="10519"/>
      <c r="AM302" s="10519"/>
      <c r="AN302" s="16128"/>
      <c r="AO302" s="15973"/>
      <c r="AP302" s="16147"/>
      <c r="AQ302" s="15973"/>
      <c r="AR302" s="10519"/>
      <c r="AS302" s="10519"/>
      <c r="AT302" s="10519"/>
      <c r="AU302" s="10519"/>
      <c r="AV302" s="10519"/>
      <c r="AW302" s="10519"/>
      <c r="AX302" s="10519"/>
      <c r="AY302" s="16128"/>
      <c r="AZ302" s="15973"/>
      <c r="BA302" s="16128"/>
      <c r="BB302" s="15973"/>
      <c r="BC302" s="10519"/>
      <c r="BD302" s="10519"/>
      <c r="BE302" s="10519"/>
      <c r="BF302" s="10519"/>
      <c r="BG302" s="10519"/>
      <c r="BH302" s="10519"/>
      <c r="BI302" s="10519"/>
      <c r="BJ302" s="16128"/>
      <c r="BK302" s="15973"/>
      <c r="BL302" s="16128"/>
      <c r="BM302" s="15973"/>
      <c r="BN302" s="10519"/>
      <c r="BO302" s="10519"/>
      <c r="BP302" s="10519"/>
      <c r="BQ302" s="10519"/>
      <c r="BR302" s="10519"/>
      <c r="BS302" s="10519"/>
      <c r="BT302" s="10519"/>
      <c r="BU302" s="16128"/>
      <c r="BV302" s="15973"/>
      <c r="BW302" s="16128"/>
      <c r="BX302" s="15973"/>
      <c r="BY302" s="10519"/>
      <c r="BZ302" s="10519"/>
      <c r="CA302" s="10519"/>
      <c r="CB302" s="10519"/>
      <c r="CC302" s="10519"/>
      <c r="CD302" s="10519"/>
      <c r="CE302" s="10519"/>
      <c r="CF302" s="16128"/>
      <c r="CG302" s="15973"/>
      <c r="CH302" s="16128"/>
      <c r="CI302" s="15973"/>
      <c r="CJ302" s="10519"/>
      <c r="CK302" s="10519"/>
      <c r="CL302" s="10519"/>
      <c r="CM302" s="10519"/>
      <c r="CN302" s="10519"/>
      <c r="CO302" s="10519"/>
      <c r="CP302" s="10519"/>
      <c r="CQ302" s="16128"/>
      <c r="CR302" s="15973"/>
      <c r="CS302" s="16128"/>
      <c r="CT302" s="15973"/>
      <c r="CU302" s="10519"/>
      <c r="CV302" s="10519"/>
      <c r="CW302" s="10519"/>
      <c r="CX302" s="10519"/>
      <c r="CY302" s="10519"/>
      <c r="CZ302" s="10519"/>
      <c r="DA302" s="10519"/>
      <c r="DB302" s="16128"/>
      <c r="DC302" s="15973"/>
      <c r="DD302" s="16128"/>
      <c r="DE302" s="15973"/>
      <c r="DF302" s="10519"/>
      <c r="DG302" s="10519"/>
      <c r="DH302" s="10519"/>
      <c r="DI302" s="10519"/>
      <c r="DJ302" s="10519"/>
      <c r="DK302" s="10519"/>
      <c r="DL302" s="10519"/>
      <c r="DM302" s="16128"/>
      <c r="DN302" s="15973"/>
      <c r="DO302" s="16128"/>
      <c r="DP302" s="15973"/>
      <c r="DQ302" s="10519"/>
      <c r="DR302" s="10519"/>
      <c r="DS302" s="10519"/>
      <c r="DT302" s="10519"/>
      <c r="DU302" s="10519"/>
      <c r="DV302" s="10519"/>
      <c r="DW302" s="10519"/>
      <c r="DX302" s="16128"/>
      <c r="DY302" s="15973"/>
      <c r="DZ302" s="16128"/>
      <c r="EA302" s="15973"/>
      <c r="EB302" s="10519"/>
      <c r="EC302" s="10519"/>
      <c r="ED302" s="10519"/>
      <c r="EE302" s="10519"/>
      <c r="EF302" s="10519"/>
      <c r="EG302" s="10519"/>
      <c r="EH302" s="10519"/>
      <c r="EI302" s="16128"/>
      <c r="EJ302" s="15973"/>
      <c r="EK302" s="16128"/>
      <c r="EL302" s="16202"/>
      <c r="EM302" s="14449"/>
      <c r="EN302" s="14449"/>
      <c r="EO302" s="14449"/>
      <c r="EP302" s="14449"/>
      <c r="EQ302" s="14449"/>
      <c r="ER302" s="14449"/>
      <c r="ES302" s="14449"/>
      <c r="ET302" s="16128"/>
      <c r="EU302" s="15973"/>
      <c r="EV302" s="16128"/>
      <c r="EW302" s="15973"/>
      <c r="EX302" s="10520"/>
      <c r="EY302" s="16182"/>
      <c r="EZ302" s="10500"/>
      <c r="FA302" s="10501"/>
      <c r="FB302" s="10501" t="str">
        <f t="shared" si="5"/>
        <v/>
      </c>
      <c r="FC302" s="10501"/>
      <c r="FD302" s="10501"/>
    </row>
    <row r="303" spans="1:160" s="15602" customFormat="1" ht="21" customHeight="1">
      <c r="A303" s="10490"/>
      <c r="B303" s="10490"/>
      <c r="C303" s="10490"/>
      <c r="D303" s="10490"/>
      <c r="E303" s="16125"/>
      <c r="F303" s="16125" t="s">
        <v>89</v>
      </c>
      <c r="G303" s="16125"/>
      <c r="H303" s="16125"/>
      <c r="I303" s="16145"/>
      <c r="J303" s="16122"/>
      <c r="K303" s="10490"/>
      <c r="L303" s="10491"/>
      <c r="M303" s="10508"/>
      <c r="N303" s="10508"/>
      <c r="O303" s="10508"/>
      <c r="P303" s="16123"/>
      <c r="Q303" s="16123"/>
      <c r="R303" s="10510"/>
      <c r="S303" s="12040"/>
      <c r="T303" s="12041" t="s">
        <v>621</v>
      </c>
      <c r="U303" s="12042"/>
      <c r="V303" s="12043"/>
      <c r="W303" s="12044"/>
      <c r="X303" s="12045"/>
      <c r="Y303" s="12046"/>
      <c r="Z303" s="12047"/>
      <c r="AA303" s="12048"/>
      <c r="AB303" s="12049"/>
      <c r="AC303" s="12050"/>
      <c r="AD303" s="12051"/>
      <c r="AE303" s="12052"/>
      <c r="AF303" s="12053"/>
      <c r="AG303" s="12054"/>
      <c r="AH303" s="12055"/>
      <c r="AI303" s="12056"/>
      <c r="AJ303" s="12057"/>
      <c r="AK303" s="12058"/>
      <c r="AL303" s="12059"/>
      <c r="AM303" s="12060"/>
      <c r="AN303" s="12061"/>
      <c r="AO303" s="12062"/>
      <c r="AP303" s="12063"/>
      <c r="AQ303" s="12064"/>
      <c r="AR303" s="12065"/>
      <c r="AS303" s="12066"/>
      <c r="AT303" s="12067"/>
      <c r="AU303" s="12068"/>
      <c r="AV303" s="12069"/>
      <c r="AW303" s="12070"/>
      <c r="AX303" s="12071"/>
      <c r="AY303" s="12072"/>
      <c r="AZ303" s="12073"/>
      <c r="BA303" s="12074"/>
      <c r="BB303" s="12075"/>
      <c r="BC303" s="12076"/>
      <c r="BD303" s="12077"/>
      <c r="BE303" s="12078"/>
      <c r="BF303" s="12079"/>
      <c r="BG303" s="12080"/>
      <c r="BH303" s="12081"/>
      <c r="BI303" s="12082"/>
      <c r="BJ303" s="12083"/>
      <c r="BK303" s="12084"/>
      <c r="BL303" s="12085"/>
      <c r="BM303" s="12086"/>
      <c r="BN303" s="12087"/>
      <c r="BO303" s="12088"/>
      <c r="BP303" s="12089"/>
      <c r="BQ303" s="12090"/>
      <c r="BR303" s="12091"/>
      <c r="BS303" s="12092"/>
      <c r="BT303" s="12093"/>
      <c r="BU303" s="12094"/>
      <c r="BV303" s="12095"/>
      <c r="BW303" s="12096"/>
      <c r="BX303" s="12097"/>
      <c r="BY303" s="12098"/>
      <c r="BZ303" s="12099"/>
      <c r="CA303" s="12100"/>
      <c r="CB303" s="12101"/>
      <c r="CC303" s="12102"/>
      <c r="CD303" s="12103"/>
      <c r="CE303" s="12104"/>
      <c r="CF303" s="12105"/>
      <c r="CG303" s="12106"/>
      <c r="CH303" s="12107"/>
      <c r="CI303" s="12108"/>
      <c r="CJ303" s="12109"/>
      <c r="CK303" s="12110"/>
      <c r="CL303" s="12111"/>
      <c r="CM303" s="12112"/>
      <c r="CN303" s="12113"/>
      <c r="CO303" s="12114"/>
      <c r="CP303" s="12115"/>
      <c r="CQ303" s="12116"/>
      <c r="CR303" s="12117"/>
      <c r="CS303" s="12118"/>
      <c r="CT303" s="12119"/>
      <c r="CU303" s="12120"/>
      <c r="CV303" s="12121"/>
      <c r="CW303" s="12122"/>
      <c r="CX303" s="12123"/>
      <c r="CY303" s="12124"/>
      <c r="CZ303" s="12125"/>
      <c r="DA303" s="12126"/>
      <c r="DB303" s="12127"/>
      <c r="DC303" s="12128"/>
      <c r="DD303" s="12129"/>
      <c r="DE303" s="12130"/>
      <c r="DF303" s="12131"/>
      <c r="DG303" s="12132"/>
      <c r="DH303" s="12133"/>
      <c r="DI303" s="12134"/>
      <c r="DJ303" s="12135"/>
      <c r="DK303" s="12136"/>
      <c r="DL303" s="12137"/>
      <c r="DM303" s="12138"/>
      <c r="DN303" s="12139"/>
      <c r="DO303" s="12140"/>
      <c r="DP303" s="12141"/>
      <c r="DQ303" s="12142"/>
      <c r="DR303" s="12143"/>
      <c r="DS303" s="12144"/>
      <c r="DT303" s="12145"/>
      <c r="DU303" s="12146"/>
      <c r="DV303" s="12147"/>
      <c r="DW303" s="12148"/>
      <c r="DX303" s="12149"/>
      <c r="DY303" s="12150"/>
      <c r="DZ303" s="12151"/>
      <c r="EA303" s="12152"/>
      <c r="EB303" s="12153"/>
      <c r="EC303" s="12154"/>
      <c r="ED303" s="12155"/>
      <c r="EE303" s="12156"/>
      <c r="EF303" s="12157"/>
      <c r="EG303" s="12158"/>
      <c r="EH303" s="12159"/>
      <c r="EI303" s="12160"/>
      <c r="EJ303" s="12161"/>
      <c r="EK303" s="12162"/>
      <c r="EL303" s="12163"/>
      <c r="EM303" s="15603"/>
      <c r="EN303" s="15604"/>
      <c r="EO303" s="15605"/>
      <c r="EP303" s="15606"/>
      <c r="EQ303" s="15607"/>
      <c r="ER303" s="15608"/>
      <c r="ES303" s="15609"/>
      <c r="ET303" s="15610"/>
      <c r="EU303" s="15611"/>
      <c r="EV303" s="15612"/>
      <c r="EW303" s="15613"/>
      <c r="EX303" s="12164"/>
      <c r="EY303" s="10499" t="s">
        <v>622</v>
      </c>
      <c r="EZ303" s="10500"/>
      <c r="FA303" s="10501"/>
      <c r="FB303" s="10501" t="str">
        <f t="shared" si="5"/>
        <v>Добавить значение признака дифференциации</v>
      </c>
      <c r="FC303" s="10501"/>
      <c r="FD303" s="10501"/>
    </row>
    <row r="304" spans="1:160" s="15614" customFormat="1" ht="21" customHeight="1">
      <c r="A304" s="10490"/>
      <c r="B304" s="10490"/>
      <c r="C304" s="10490"/>
      <c r="D304" s="10490"/>
      <c r="E304" s="16125"/>
      <c r="F304" s="16125" t="s">
        <v>89</v>
      </c>
      <c r="G304" s="16125"/>
      <c r="H304" s="16125"/>
      <c r="I304" s="16122"/>
      <c r="J304" s="10490"/>
      <c r="K304" s="10490"/>
      <c r="L304" s="10491"/>
      <c r="M304" s="10508"/>
      <c r="N304" s="10508"/>
      <c r="O304" s="10508"/>
      <c r="P304" s="16123"/>
      <c r="Q304" s="10509"/>
      <c r="R304" s="10510"/>
      <c r="S304" s="12165"/>
      <c r="T304" s="12166" t="s">
        <v>549</v>
      </c>
      <c r="U304" s="12167"/>
      <c r="V304" s="12168"/>
      <c r="W304" s="12169"/>
      <c r="X304" s="12170"/>
      <c r="Y304" s="12171"/>
      <c r="Z304" s="12172"/>
      <c r="AA304" s="12173"/>
      <c r="AB304" s="12174"/>
      <c r="AC304" s="12175"/>
      <c r="AD304" s="12176"/>
      <c r="AE304" s="12177"/>
      <c r="AF304" s="12178"/>
      <c r="AG304" s="12179"/>
      <c r="AH304" s="12180"/>
      <c r="AI304" s="12181"/>
      <c r="AJ304" s="12182"/>
      <c r="AK304" s="12183"/>
      <c r="AL304" s="12184"/>
      <c r="AM304" s="12185"/>
      <c r="AN304" s="12186"/>
      <c r="AO304" s="12187"/>
      <c r="AP304" s="12188"/>
      <c r="AQ304" s="12189"/>
      <c r="AR304" s="12190"/>
      <c r="AS304" s="12191"/>
      <c r="AT304" s="12192"/>
      <c r="AU304" s="12193"/>
      <c r="AV304" s="12194"/>
      <c r="AW304" s="12195"/>
      <c r="AX304" s="12196"/>
      <c r="AY304" s="12197"/>
      <c r="AZ304" s="12198"/>
      <c r="BA304" s="12199"/>
      <c r="BB304" s="12200"/>
      <c r="BC304" s="12201"/>
      <c r="BD304" s="12202"/>
      <c r="BE304" s="12203"/>
      <c r="BF304" s="12204"/>
      <c r="BG304" s="12205"/>
      <c r="BH304" s="12206"/>
      <c r="BI304" s="12207"/>
      <c r="BJ304" s="12208"/>
      <c r="BK304" s="12209"/>
      <c r="BL304" s="12210"/>
      <c r="BM304" s="12211"/>
      <c r="BN304" s="12212"/>
      <c r="BO304" s="12213"/>
      <c r="BP304" s="12214"/>
      <c r="BQ304" s="12215"/>
      <c r="BR304" s="12216"/>
      <c r="BS304" s="12217"/>
      <c r="BT304" s="12218"/>
      <c r="BU304" s="12219"/>
      <c r="BV304" s="12220"/>
      <c r="BW304" s="12221"/>
      <c r="BX304" s="12222"/>
      <c r="BY304" s="12223"/>
      <c r="BZ304" s="12224"/>
      <c r="CA304" s="12225"/>
      <c r="CB304" s="12226"/>
      <c r="CC304" s="12227"/>
      <c r="CD304" s="12228"/>
      <c r="CE304" s="12229"/>
      <c r="CF304" s="12230"/>
      <c r="CG304" s="12231"/>
      <c r="CH304" s="12232"/>
      <c r="CI304" s="12233"/>
      <c r="CJ304" s="12234"/>
      <c r="CK304" s="12235"/>
      <c r="CL304" s="12236"/>
      <c r="CM304" s="12237"/>
      <c r="CN304" s="12238"/>
      <c r="CO304" s="12239"/>
      <c r="CP304" s="12240"/>
      <c r="CQ304" s="12241"/>
      <c r="CR304" s="12242"/>
      <c r="CS304" s="12243"/>
      <c r="CT304" s="12244"/>
      <c r="CU304" s="12245"/>
      <c r="CV304" s="12246"/>
      <c r="CW304" s="12247"/>
      <c r="CX304" s="12248"/>
      <c r="CY304" s="12249"/>
      <c r="CZ304" s="12250"/>
      <c r="DA304" s="12251"/>
      <c r="DB304" s="12252"/>
      <c r="DC304" s="12253"/>
      <c r="DD304" s="12254"/>
      <c r="DE304" s="12255"/>
      <c r="DF304" s="12256"/>
      <c r="DG304" s="12257"/>
      <c r="DH304" s="12258"/>
      <c r="DI304" s="12259"/>
      <c r="DJ304" s="12260"/>
      <c r="DK304" s="12261"/>
      <c r="DL304" s="12262"/>
      <c r="DM304" s="12263"/>
      <c r="DN304" s="12264"/>
      <c r="DO304" s="12265"/>
      <c r="DP304" s="12266"/>
      <c r="DQ304" s="12267"/>
      <c r="DR304" s="12268"/>
      <c r="DS304" s="12269"/>
      <c r="DT304" s="12270"/>
      <c r="DU304" s="12271"/>
      <c r="DV304" s="12272"/>
      <c r="DW304" s="12273"/>
      <c r="DX304" s="12274"/>
      <c r="DY304" s="12275"/>
      <c r="DZ304" s="12276"/>
      <c r="EA304" s="12277"/>
      <c r="EB304" s="12278"/>
      <c r="EC304" s="12279"/>
      <c r="ED304" s="12280"/>
      <c r="EE304" s="12281"/>
      <c r="EF304" s="12282"/>
      <c r="EG304" s="12283"/>
      <c r="EH304" s="12284"/>
      <c r="EI304" s="12285"/>
      <c r="EJ304" s="12286"/>
      <c r="EK304" s="12287"/>
      <c r="EL304" s="12288"/>
      <c r="EM304" s="15615"/>
      <c r="EN304" s="15616"/>
      <c r="EO304" s="15617"/>
      <c r="EP304" s="15618"/>
      <c r="EQ304" s="15619"/>
      <c r="ER304" s="15620"/>
      <c r="ES304" s="15621"/>
      <c r="ET304" s="15622"/>
      <c r="EU304" s="15623"/>
      <c r="EV304" s="15624"/>
      <c r="EW304" s="15625"/>
      <c r="EX304" s="12289"/>
      <c r="EY304" s="12290"/>
      <c r="EZ304" s="10500"/>
      <c r="FA304" s="10501"/>
      <c r="FB304" s="10501" t="str">
        <f t="shared" si="5"/>
        <v>Добавить группу потребителей</v>
      </c>
      <c r="FC304" s="10501"/>
      <c r="FD304" s="10501"/>
    </row>
    <row r="305" spans="1:160" s="15626" customFormat="1" ht="21" customHeight="1">
      <c r="A305" s="10490"/>
      <c r="B305" s="10490"/>
      <c r="C305" s="10490"/>
      <c r="D305" s="10490"/>
      <c r="E305" s="16125"/>
      <c r="F305" s="16125" t="s">
        <v>89</v>
      </c>
      <c r="G305" s="16125"/>
      <c r="H305" s="16124"/>
      <c r="I305" s="10490"/>
      <c r="J305" s="10490"/>
      <c r="K305" s="10490"/>
      <c r="L305" s="10491"/>
      <c r="M305" s="10492"/>
      <c r="N305" s="10492"/>
      <c r="O305" s="10772"/>
      <c r="P305" s="10494"/>
      <c r="Q305" s="10773"/>
      <c r="R305" s="10495"/>
      <c r="S305" s="12291"/>
      <c r="T305" s="12292" t="s">
        <v>623</v>
      </c>
      <c r="U305" s="12293"/>
      <c r="V305" s="12294"/>
      <c r="W305" s="12295"/>
      <c r="X305" s="12296"/>
      <c r="Y305" s="12297"/>
      <c r="Z305" s="12298"/>
      <c r="AA305" s="12299"/>
      <c r="AB305" s="12300"/>
      <c r="AC305" s="12301"/>
      <c r="AD305" s="12302"/>
      <c r="AE305" s="12303"/>
      <c r="AF305" s="12304"/>
      <c r="AG305" s="12305"/>
      <c r="AH305" s="12306"/>
      <c r="AI305" s="12307"/>
      <c r="AJ305" s="12308"/>
      <c r="AK305" s="12309"/>
      <c r="AL305" s="12310"/>
      <c r="AM305" s="12311"/>
      <c r="AN305" s="12312"/>
      <c r="AO305" s="12313"/>
      <c r="AP305" s="12314"/>
      <c r="AQ305" s="12315"/>
      <c r="AR305" s="12316"/>
      <c r="AS305" s="12317"/>
      <c r="AT305" s="12318"/>
      <c r="AU305" s="12319"/>
      <c r="AV305" s="12320"/>
      <c r="AW305" s="12321"/>
      <c r="AX305" s="12322"/>
      <c r="AY305" s="12323"/>
      <c r="AZ305" s="12324"/>
      <c r="BA305" s="12325"/>
      <c r="BB305" s="12326"/>
      <c r="BC305" s="12327"/>
      <c r="BD305" s="12328"/>
      <c r="BE305" s="12329"/>
      <c r="BF305" s="12330"/>
      <c r="BG305" s="12331"/>
      <c r="BH305" s="12332"/>
      <c r="BI305" s="12333"/>
      <c r="BJ305" s="12334"/>
      <c r="BK305" s="12335"/>
      <c r="BL305" s="12336"/>
      <c r="BM305" s="12337"/>
      <c r="BN305" s="12338"/>
      <c r="BO305" s="12339"/>
      <c r="BP305" s="12340"/>
      <c r="BQ305" s="12341"/>
      <c r="BR305" s="12342"/>
      <c r="BS305" s="12343"/>
      <c r="BT305" s="12344"/>
      <c r="BU305" s="12345"/>
      <c r="BV305" s="12346"/>
      <c r="BW305" s="12347"/>
      <c r="BX305" s="12348"/>
      <c r="BY305" s="12349"/>
      <c r="BZ305" s="12350"/>
      <c r="CA305" s="12351"/>
      <c r="CB305" s="12352"/>
      <c r="CC305" s="12353"/>
      <c r="CD305" s="12354"/>
      <c r="CE305" s="12355"/>
      <c r="CF305" s="12356"/>
      <c r="CG305" s="12357"/>
      <c r="CH305" s="12358"/>
      <c r="CI305" s="12359"/>
      <c r="CJ305" s="12360"/>
      <c r="CK305" s="12361"/>
      <c r="CL305" s="12362"/>
      <c r="CM305" s="12363"/>
      <c r="CN305" s="12364"/>
      <c r="CO305" s="12365"/>
      <c r="CP305" s="12366"/>
      <c r="CQ305" s="12367"/>
      <c r="CR305" s="12368"/>
      <c r="CS305" s="12369"/>
      <c r="CT305" s="12370"/>
      <c r="CU305" s="12371"/>
      <c r="CV305" s="12372"/>
      <c r="CW305" s="12373"/>
      <c r="CX305" s="12374"/>
      <c r="CY305" s="12375"/>
      <c r="CZ305" s="12376"/>
      <c r="DA305" s="12377"/>
      <c r="DB305" s="12378"/>
      <c r="DC305" s="12379"/>
      <c r="DD305" s="12380"/>
      <c r="DE305" s="12381"/>
      <c r="DF305" s="12382"/>
      <c r="DG305" s="12383"/>
      <c r="DH305" s="12384"/>
      <c r="DI305" s="12385"/>
      <c r="DJ305" s="12386"/>
      <c r="DK305" s="12387"/>
      <c r="DL305" s="12388"/>
      <c r="DM305" s="12389"/>
      <c r="DN305" s="12390"/>
      <c r="DO305" s="12391"/>
      <c r="DP305" s="12392"/>
      <c r="DQ305" s="12393"/>
      <c r="DR305" s="12394"/>
      <c r="DS305" s="12395"/>
      <c r="DT305" s="12396"/>
      <c r="DU305" s="12397"/>
      <c r="DV305" s="12398"/>
      <c r="DW305" s="12399"/>
      <c r="DX305" s="12400"/>
      <c r="DY305" s="12401"/>
      <c r="DZ305" s="12402"/>
      <c r="EA305" s="12403"/>
      <c r="EB305" s="12404"/>
      <c r="EC305" s="12405"/>
      <c r="ED305" s="12406"/>
      <c r="EE305" s="12407"/>
      <c r="EF305" s="12408"/>
      <c r="EG305" s="12409"/>
      <c r="EH305" s="12410"/>
      <c r="EI305" s="12411"/>
      <c r="EJ305" s="12412"/>
      <c r="EK305" s="12413"/>
      <c r="EL305" s="12414"/>
      <c r="EM305" s="15627"/>
      <c r="EN305" s="15628"/>
      <c r="EO305" s="15629"/>
      <c r="EP305" s="15630"/>
      <c r="EQ305" s="15631"/>
      <c r="ER305" s="15632"/>
      <c r="ES305" s="15633"/>
      <c r="ET305" s="15634"/>
      <c r="EU305" s="15635"/>
      <c r="EV305" s="15636"/>
      <c r="EW305" s="15637"/>
      <c r="EX305" s="12415"/>
      <c r="EY305" s="12416"/>
      <c r="EZ305" s="10500"/>
      <c r="FA305" s="10501"/>
      <c r="FB305" s="10501" t="str">
        <f t="shared" si="5"/>
        <v>Добавить наименование признака дифференциации</v>
      </c>
      <c r="FC305" s="10501"/>
      <c r="FD305" s="10501"/>
    </row>
    <row r="306" spans="1:160" s="15638" customFormat="1" ht="14.25" customHeight="1">
      <c r="A306" s="11277"/>
      <c r="B306" s="11277"/>
      <c r="C306" s="11277"/>
      <c r="D306" s="11277"/>
      <c r="E306" s="16125"/>
      <c r="F306" s="16124" t="s">
        <v>89</v>
      </c>
      <c r="G306" s="11277"/>
      <c r="H306" s="11277"/>
      <c r="I306" s="11277"/>
      <c r="J306" s="11277"/>
      <c r="K306" s="11277"/>
      <c r="L306" s="11278"/>
      <c r="M306" s="11279"/>
      <c r="N306" s="11279"/>
      <c r="O306" s="10500"/>
      <c r="P306" s="11280"/>
      <c r="Q306" s="11281"/>
      <c r="R306" s="11280"/>
      <c r="S306" s="11282"/>
      <c r="T306" s="11283" t="s">
        <v>290</v>
      </c>
      <c r="U306" s="11284"/>
      <c r="V306" s="11284"/>
      <c r="W306" s="11284"/>
      <c r="X306" s="11284"/>
      <c r="Y306" s="11284"/>
      <c r="Z306" s="11284"/>
      <c r="AA306" s="11284"/>
      <c r="AB306" s="11284"/>
      <c r="AC306" s="11284"/>
      <c r="AD306" s="11284"/>
      <c r="AE306" s="11284"/>
      <c r="AF306" s="11284"/>
      <c r="AG306" s="11284"/>
      <c r="AH306" s="11284"/>
      <c r="AI306" s="11284"/>
      <c r="AJ306" s="11284"/>
      <c r="AK306" s="11284"/>
      <c r="AL306" s="11284"/>
      <c r="AM306" s="11284"/>
      <c r="AN306" s="11284"/>
      <c r="AO306" s="11284"/>
      <c r="AP306" s="11284"/>
      <c r="AQ306" s="11284"/>
      <c r="AR306" s="11284"/>
      <c r="AS306" s="11284"/>
      <c r="AT306" s="11284"/>
      <c r="AU306" s="11284"/>
      <c r="AV306" s="11284"/>
      <c r="AW306" s="11284"/>
      <c r="AX306" s="11284"/>
      <c r="AY306" s="11284"/>
      <c r="AZ306" s="11284"/>
      <c r="BA306" s="11284"/>
      <c r="BB306" s="11284"/>
      <c r="BC306" s="11284"/>
      <c r="BD306" s="11284"/>
      <c r="BE306" s="11284"/>
      <c r="BF306" s="11284"/>
      <c r="BG306" s="11284"/>
      <c r="BH306" s="11284"/>
      <c r="BI306" s="11284"/>
      <c r="BJ306" s="11284"/>
      <c r="BK306" s="11284"/>
      <c r="BL306" s="11284"/>
      <c r="BM306" s="11284"/>
      <c r="BN306" s="11284"/>
      <c r="BO306" s="11284"/>
      <c r="BP306" s="11284"/>
      <c r="BQ306" s="11284"/>
      <c r="BR306" s="11284"/>
      <c r="BS306" s="11284"/>
      <c r="BT306" s="11284"/>
      <c r="BU306" s="11284"/>
      <c r="BV306" s="11284"/>
      <c r="BW306" s="11284"/>
      <c r="BX306" s="11284"/>
      <c r="BY306" s="11284"/>
      <c r="BZ306" s="11284"/>
      <c r="CA306" s="11284"/>
      <c r="CB306" s="11284"/>
      <c r="CC306" s="11284"/>
      <c r="CD306" s="11284"/>
      <c r="CE306" s="11284"/>
      <c r="CF306" s="11284"/>
      <c r="CG306" s="11284"/>
      <c r="CH306" s="11284"/>
      <c r="CI306" s="11284"/>
      <c r="CJ306" s="11284"/>
      <c r="CK306" s="11284"/>
      <c r="CL306" s="11284"/>
      <c r="CM306" s="11284"/>
      <c r="CN306" s="11284"/>
      <c r="CO306" s="11284"/>
      <c r="CP306" s="11284"/>
      <c r="CQ306" s="11284"/>
      <c r="CR306" s="11284"/>
      <c r="CS306" s="11284"/>
      <c r="CT306" s="11284"/>
      <c r="CU306" s="11284"/>
      <c r="CV306" s="11284"/>
      <c r="CW306" s="11284"/>
      <c r="CX306" s="11284"/>
      <c r="CY306" s="11284"/>
      <c r="CZ306" s="11284"/>
      <c r="DA306" s="11284"/>
      <c r="DB306" s="11284"/>
      <c r="DC306" s="11284"/>
      <c r="DD306" s="11284"/>
      <c r="DE306" s="11284"/>
      <c r="DF306" s="11284"/>
      <c r="DG306" s="11284"/>
      <c r="DH306" s="11284"/>
      <c r="DI306" s="11284"/>
      <c r="DJ306" s="11284"/>
      <c r="DK306" s="11284"/>
      <c r="DL306" s="11284"/>
      <c r="DM306" s="11284"/>
      <c r="DN306" s="11284"/>
      <c r="DO306" s="11284"/>
      <c r="DP306" s="11284"/>
      <c r="DQ306" s="11284"/>
      <c r="DR306" s="11284"/>
      <c r="DS306" s="11284"/>
      <c r="DT306" s="11284"/>
      <c r="DU306" s="11284"/>
      <c r="DV306" s="11284"/>
      <c r="DW306" s="11284"/>
      <c r="DX306" s="11284"/>
      <c r="DY306" s="11284"/>
      <c r="DZ306" s="11284"/>
      <c r="EA306" s="11284"/>
      <c r="EB306" s="11284"/>
      <c r="EC306" s="11284"/>
      <c r="ED306" s="11284"/>
      <c r="EE306" s="11284"/>
      <c r="EF306" s="11284"/>
      <c r="EG306" s="11284"/>
      <c r="EH306" s="11284"/>
      <c r="EI306" s="11284"/>
      <c r="EJ306" s="11284"/>
      <c r="EK306" s="11284"/>
      <c r="EL306" s="11285"/>
      <c r="EM306" s="14483"/>
      <c r="EN306" s="14483"/>
      <c r="EO306" s="14483"/>
      <c r="EP306" s="14483"/>
      <c r="EQ306" s="14483"/>
      <c r="ER306" s="14483"/>
      <c r="ES306" s="14483"/>
      <c r="ET306" s="14483"/>
      <c r="EU306" s="14483"/>
      <c r="EV306" s="14483"/>
      <c r="EW306" s="14483"/>
      <c r="EX306" s="11284"/>
      <c r="EY306" s="11284"/>
      <c r="EZ306" s="10500"/>
      <c r="FA306" s="10501"/>
      <c r="FB306" s="10501" t="str">
        <f t="shared" si="5"/>
        <v>Добавить централизованную систему для дифференциации</v>
      </c>
      <c r="FC306" s="10501"/>
      <c r="FD306" s="10501"/>
    </row>
    <row r="307" spans="1:160" s="15639" customFormat="1" ht="23.25" customHeight="1">
      <c r="A307" s="10490"/>
      <c r="B307" s="10490" t="s">
        <v>375</v>
      </c>
      <c r="C307" s="10490"/>
      <c r="D307" s="10490"/>
      <c r="E307" s="16125"/>
      <c r="F307" s="16124" t="s">
        <v>117</v>
      </c>
      <c r="G307" s="10490"/>
      <c r="H307" s="10490"/>
      <c r="I307" s="10490"/>
      <c r="J307" s="10490"/>
      <c r="K307" s="10490"/>
      <c r="L307" s="10491"/>
      <c r="M307" s="10492"/>
      <c r="N307" s="10492"/>
      <c r="O307" s="10492"/>
      <c r="P307" s="10502"/>
      <c r="Q307" s="10503"/>
      <c r="R307" s="10504"/>
      <c r="S307" s="10496" t="str">
        <f>INDEX(PT_DIFFERENTIATION_NUM_TER,MATCH(B307,PT_DIFFERENTIATION_TER_ID,0))</f>
        <v>3.5</v>
      </c>
      <c r="T307" s="10505" t="s">
        <v>534</v>
      </c>
      <c r="U307" s="10498"/>
      <c r="V307" s="16110"/>
      <c r="W307" s="16111"/>
      <c r="X307" s="16111"/>
      <c r="Y307" s="16111"/>
      <c r="Z307" s="16111"/>
      <c r="AA307" s="16111"/>
      <c r="AB307" s="16111"/>
      <c r="AC307" s="16111"/>
      <c r="AD307" s="16111"/>
      <c r="AE307" s="16111"/>
      <c r="AF307" s="16112"/>
      <c r="AG307" s="16110" t="str">
        <f>INDEX(PT_DIFFERENTIATION_TER,MATCH(B307,PT_DIFFERENTIATION_TER_ID,0))</f>
        <v>Территория 5</v>
      </c>
      <c r="AH307" s="16111"/>
      <c r="AI307" s="16111"/>
      <c r="AJ307" s="16111"/>
      <c r="AK307" s="16111"/>
      <c r="AL307" s="16111"/>
      <c r="AM307" s="16111"/>
      <c r="AN307" s="16111"/>
      <c r="AO307" s="16111"/>
      <c r="AP307" s="16111"/>
      <c r="AQ307" s="16111"/>
      <c r="AR307" s="16110"/>
      <c r="AS307" s="16111"/>
      <c r="AT307" s="16111"/>
      <c r="AU307" s="16111"/>
      <c r="AV307" s="16111"/>
      <c r="AW307" s="16111"/>
      <c r="AX307" s="16111"/>
      <c r="AY307" s="16111"/>
      <c r="AZ307" s="16111"/>
      <c r="BA307" s="16111"/>
      <c r="BB307" s="16112"/>
      <c r="BC307" s="16110"/>
      <c r="BD307" s="16111"/>
      <c r="BE307" s="16111"/>
      <c r="BF307" s="16111"/>
      <c r="BG307" s="16111"/>
      <c r="BH307" s="16111"/>
      <c r="BI307" s="16111"/>
      <c r="BJ307" s="16111"/>
      <c r="BK307" s="16111"/>
      <c r="BL307" s="16111"/>
      <c r="BM307" s="16112"/>
      <c r="BN307" s="16110"/>
      <c r="BO307" s="16111"/>
      <c r="BP307" s="16111"/>
      <c r="BQ307" s="16111"/>
      <c r="BR307" s="16111"/>
      <c r="BS307" s="16111"/>
      <c r="BT307" s="16111"/>
      <c r="BU307" s="16111"/>
      <c r="BV307" s="16111"/>
      <c r="BW307" s="16111"/>
      <c r="BX307" s="16112"/>
      <c r="BY307" s="16110"/>
      <c r="BZ307" s="16111"/>
      <c r="CA307" s="16111"/>
      <c r="CB307" s="16111"/>
      <c r="CC307" s="16111"/>
      <c r="CD307" s="16111"/>
      <c r="CE307" s="16111"/>
      <c r="CF307" s="16111"/>
      <c r="CG307" s="16111"/>
      <c r="CH307" s="16111"/>
      <c r="CI307" s="16112"/>
      <c r="CJ307" s="16110"/>
      <c r="CK307" s="16111"/>
      <c r="CL307" s="16111"/>
      <c r="CM307" s="16111"/>
      <c r="CN307" s="16111"/>
      <c r="CO307" s="16111"/>
      <c r="CP307" s="16111"/>
      <c r="CQ307" s="16111"/>
      <c r="CR307" s="16111"/>
      <c r="CS307" s="16111"/>
      <c r="CT307" s="16112"/>
      <c r="CU307" s="16110"/>
      <c r="CV307" s="16111"/>
      <c r="CW307" s="16111"/>
      <c r="CX307" s="16111"/>
      <c r="CY307" s="16111"/>
      <c r="CZ307" s="16111"/>
      <c r="DA307" s="16111"/>
      <c r="DB307" s="16111"/>
      <c r="DC307" s="16111"/>
      <c r="DD307" s="16111"/>
      <c r="DE307" s="16112"/>
      <c r="DF307" s="16110"/>
      <c r="DG307" s="16111"/>
      <c r="DH307" s="16111"/>
      <c r="DI307" s="16111"/>
      <c r="DJ307" s="16111"/>
      <c r="DK307" s="16111"/>
      <c r="DL307" s="16111"/>
      <c r="DM307" s="16111"/>
      <c r="DN307" s="16111"/>
      <c r="DO307" s="16111"/>
      <c r="DP307" s="16112"/>
      <c r="DQ307" s="16110"/>
      <c r="DR307" s="16111"/>
      <c r="DS307" s="16111"/>
      <c r="DT307" s="16111"/>
      <c r="DU307" s="16111"/>
      <c r="DV307" s="16111"/>
      <c r="DW307" s="16111"/>
      <c r="DX307" s="16111"/>
      <c r="DY307" s="16111"/>
      <c r="DZ307" s="16111"/>
      <c r="EA307" s="16112"/>
      <c r="EB307" s="16110"/>
      <c r="EC307" s="16111"/>
      <c r="ED307" s="16111"/>
      <c r="EE307" s="16111"/>
      <c r="EF307" s="16111"/>
      <c r="EG307" s="16111"/>
      <c r="EH307" s="16111"/>
      <c r="EI307" s="16111"/>
      <c r="EJ307" s="16111"/>
      <c r="EK307" s="16111"/>
      <c r="EL307" s="16199"/>
      <c r="EM307" s="16110"/>
      <c r="EN307" s="16111"/>
      <c r="EO307" s="16111"/>
      <c r="EP307" s="16111"/>
      <c r="EQ307" s="16111"/>
      <c r="ER307" s="16111"/>
      <c r="ES307" s="16111"/>
      <c r="ET307" s="16111"/>
      <c r="EU307" s="16111"/>
      <c r="EV307" s="16111"/>
      <c r="EW307" s="16112"/>
      <c r="EX307" s="16112"/>
      <c r="EY307" s="10499" t="s">
        <v>535</v>
      </c>
      <c r="EZ307" s="10500"/>
      <c r="FA307" s="10501"/>
      <c r="FB307" s="10501" t="str">
        <f t="shared" si="5"/>
        <v>Территория действия тарифа</v>
      </c>
      <c r="FC307" s="10501"/>
      <c r="FD307" s="10501"/>
    </row>
    <row r="308" spans="1:160" s="15640" customFormat="1" ht="23.25" customHeight="1">
      <c r="A308" s="10490"/>
      <c r="B308" s="10490"/>
      <c r="C308" s="10490" t="s">
        <v>376</v>
      </c>
      <c r="D308" s="10490"/>
      <c r="E308" s="16125"/>
      <c r="F308" s="16125" t="s">
        <v>90</v>
      </c>
      <c r="G308" s="16124">
        <v>1</v>
      </c>
      <c r="H308" s="10490"/>
      <c r="I308" s="10490"/>
      <c r="J308" s="10490"/>
      <c r="K308" s="10490"/>
      <c r="L308" s="10491"/>
      <c r="M308" s="10492"/>
      <c r="N308" s="10492"/>
      <c r="O308" s="10492"/>
      <c r="P308" s="10506"/>
      <c r="Q308" s="10503"/>
      <c r="R308" s="10504"/>
      <c r="S308" s="10496" t="str">
        <f>INDEX(PT_DIFFERENTIATION_NUM_CS,MATCH(C308,PT_DIFFERENTIATION_CS_ID,0))</f>
        <v>3.5.1</v>
      </c>
      <c r="T308" s="10507" t="s">
        <v>665</v>
      </c>
      <c r="U308" s="10498"/>
      <c r="V308" s="16110"/>
      <c r="W308" s="16111"/>
      <c r="X308" s="16111"/>
      <c r="Y308" s="16111"/>
      <c r="Z308" s="16111"/>
      <c r="AA308" s="16111"/>
      <c r="AB308" s="16111"/>
      <c r="AC308" s="16111"/>
      <c r="AD308" s="16111"/>
      <c r="AE308" s="16111"/>
      <c r="AF308" s="16112"/>
      <c r="AG308" s="16110" t="str">
        <f>INDEX(PT_DIFFERENTIATION_CS,MATCH(C308,PT_DIFFERENTIATION_CS_ID,0))</f>
        <v>с.п. Ловозеро</v>
      </c>
      <c r="AH308" s="16111"/>
      <c r="AI308" s="16111"/>
      <c r="AJ308" s="16111"/>
      <c r="AK308" s="16111"/>
      <c r="AL308" s="16111"/>
      <c r="AM308" s="16111"/>
      <c r="AN308" s="16111"/>
      <c r="AO308" s="16111"/>
      <c r="AP308" s="16111"/>
      <c r="AQ308" s="16111"/>
      <c r="AR308" s="16110"/>
      <c r="AS308" s="16111"/>
      <c r="AT308" s="16111"/>
      <c r="AU308" s="16111"/>
      <c r="AV308" s="16111"/>
      <c r="AW308" s="16111"/>
      <c r="AX308" s="16111"/>
      <c r="AY308" s="16111"/>
      <c r="AZ308" s="16111"/>
      <c r="BA308" s="16111"/>
      <c r="BB308" s="16112"/>
      <c r="BC308" s="16110"/>
      <c r="BD308" s="16111"/>
      <c r="BE308" s="16111"/>
      <c r="BF308" s="16111"/>
      <c r="BG308" s="16111"/>
      <c r="BH308" s="16111"/>
      <c r="BI308" s="16111"/>
      <c r="BJ308" s="16111"/>
      <c r="BK308" s="16111"/>
      <c r="BL308" s="16111"/>
      <c r="BM308" s="16112"/>
      <c r="BN308" s="16110"/>
      <c r="BO308" s="16111"/>
      <c r="BP308" s="16111"/>
      <c r="BQ308" s="16111"/>
      <c r="BR308" s="16111"/>
      <c r="BS308" s="16111"/>
      <c r="BT308" s="16111"/>
      <c r="BU308" s="16111"/>
      <c r="BV308" s="16111"/>
      <c r="BW308" s="16111"/>
      <c r="BX308" s="16112"/>
      <c r="BY308" s="16110"/>
      <c r="BZ308" s="16111"/>
      <c r="CA308" s="16111"/>
      <c r="CB308" s="16111"/>
      <c r="CC308" s="16111"/>
      <c r="CD308" s="16111"/>
      <c r="CE308" s="16111"/>
      <c r="CF308" s="16111"/>
      <c r="CG308" s="16111"/>
      <c r="CH308" s="16111"/>
      <c r="CI308" s="16112"/>
      <c r="CJ308" s="16110"/>
      <c r="CK308" s="16111"/>
      <c r="CL308" s="16111"/>
      <c r="CM308" s="16111"/>
      <c r="CN308" s="16111"/>
      <c r="CO308" s="16111"/>
      <c r="CP308" s="16111"/>
      <c r="CQ308" s="16111"/>
      <c r="CR308" s="16111"/>
      <c r="CS308" s="16111"/>
      <c r="CT308" s="16112"/>
      <c r="CU308" s="16110"/>
      <c r="CV308" s="16111"/>
      <c r="CW308" s="16111"/>
      <c r="CX308" s="16111"/>
      <c r="CY308" s="16111"/>
      <c r="CZ308" s="16111"/>
      <c r="DA308" s="16111"/>
      <c r="DB308" s="16111"/>
      <c r="DC308" s="16111"/>
      <c r="DD308" s="16111"/>
      <c r="DE308" s="16112"/>
      <c r="DF308" s="16110"/>
      <c r="DG308" s="16111"/>
      <c r="DH308" s="16111"/>
      <c r="DI308" s="16111"/>
      <c r="DJ308" s="16111"/>
      <c r="DK308" s="16111"/>
      <c r="DL308" s="16111"/>
      <c r="DM308" s="16111"/>
      <c r="DN308" s="16111"/>
      <c r="DO308" s="16111"/>
      <c r="DP308" s="16112"/>
      <c r="DQ308" s="16110"/>
      <c r="DR308" s="16111"/>
      <c r="DS308" s="16111"/>
      <c r="DT308" s="16111"/>
      <c r="DU308" s="16111"/>
      <c r="DV308" s="16111"/>
      <c r="DW308" s="16111"/>
      <c r="DX308" s="16111"/>
      <c r="DY308" s="16111"/>
      <c r="DZ308" s="16111"/>
      <c r="EA308" s="16112"/>
      <c r="EB308" s="16110"/>
      <c r="EC308" s="16111"/>
      <c r="ED308" s="16111"/>
      <c r="EE308" s="16111"/>
      <c r="EF308" s="16111"/>
      <c r="EG308" s="16111"/>
      <c r="EH308" s="16111"/>
      <c r="EI308" s="16111"/>
      <c r="EJ308" s="16111"/>
      <c r="EK308" s="16111"/>
      <c r="EL308" s="16199"/>
      <c r="EM308" s="16110"/>
      <c r="EN308" s="16111"/>
      <c r="EO308" s="16111"/>
      <c r="EP308" s="16111"/>
      <c r="EQ308" s="16111"/>
      <c r="ER308" s="16111"/>
      <c r="ES308" s="16111"/>
      <c r="ET308" s="16111"/>
      <c r="EU308" s="16111"/>
      <c r="EV308" s="16111"/>
      <c r="EW308" s="16112"/>
      <c r="EX308" s="16112"/>
      <c r="EY308" s="10499" t="s">
        <v>666</v>
      </c>
      <c r="EZ308" s="10500"/>
      <c r="FA308" s="10501"/>
      <c r="FB308" s="10501" t="str">
        <f t="shared" si="5"/>
        <v>Наименование централизованной системы горячего водоснабжения</v>
      </c>
      <c r="FC308" s="10501"/>
      <c r="FD308" s="10501"/>
    </row>
    <row r="309" spans="1:160" s="15641" customFormat="1" ht="23.25" customHeight="1">
      <c r="A309" s="10490"/>
      <c r="B309" s="10490"/>
      <c r="C309" s="10490"/>
      <c r="D309" s="10490"/>
      <c r="E309" s="16125"/>
      <c r="F309" s="16125" t="s">
        <v>90</v>
      </c>
      <c r="G309" s="16125"/>
      <c r="H309" s="16125"/>
      <c r="I309" s="16122" t="str">
        <f>S308&amp;".1"</f>
        <v>3.5.1.1</v>
      </c>
      <c r="J309" s="10490"/>
      <c r="K309" s="10490"/>
      <c r="L309" s="10491"/>
      <c r="M309" s="10508"/>
      <c r="N309" s="10508"/>
      <c r="O309" s="10508"/>
      <c r="P309" s="16123">
        <v>1</v>
      </c>
      <c r="Q309" s="10509"/>
      <c r="R309" s="10510"/>
      <c r="S309" s="10496" t="str">
        <f>$I309</f>
        <v>3.5.1.1</v>
      </c>
      <c r="T309" s="10511" t="s">
        <v>618</v>
      </c>
      <c r="U309" s="10498"/>
      <c r="V309" s="16183"/>
      <c r="W309" s="16184"/>
      <c r="X309" s="16184"/>
      <c r="Y309" s="16184"/>
      <c r="Z309" s="16184"/>
      <c r="AA309" s="16184"/>
      <c r="AB309" s="16184"/>
      <c r="AC309" s="16184"/>
      <c r="AD309" s="16184"/>
      <c r="AE309" s="16184"/>
      <c r="AF309" s="16185"/>
      <c r="AG309" s="16186"/>
      <c r="AH309" s="16187"/>
      <c r="AI309" s="16187"/>
      <c r="AJ309" s="16187"/>
      <c r="AK309" s="16187"/>
      <c r="AL309" s="16187"/>
      <c r="AM309" s="16187"/>
      <c r="AN309" s="16187"/>
      <c r="AO309" s="16187"/>
      <c r="AP309" s="16187"/>
      <c r="AQ309" s="16187"/>
      <c r="AR309" s="16183"/>
      <c r="AS309" s="16184"/>
      <c r="AT309" s="16184"/>
      <c r="AU309" s="16184"/>
      <c r="AV309" s="16184"/>
      <c r="AW309" s="16184"/>
      <c r="AX309" s="16184"/>
      <c r="AY309" s="16184"/>
      <c r="AZ309" s="16184"/>
      <c r="BA309" s="16184"/>
      <c r="BB309" s="16185"/>
      <c r="BC309" s="16183"/>
      <c r="BD309" s="16184"/>
      <c r="BE309" s="16184"/>
      <c r="BF309" s="16184"/>
      <c r="BG309" s="16184"/>
      <c r="BH309" s="16184"/>
      <c r="BI309" s="16184"/>
      <c r="BJ309" s="16184"/>
      <c r="BK309" s="16184"/>
      <c r="BL309" s="16184"/>
      <c r="BM309" s="16185"/>
      <c r="BN309" s="16183"/>
      <c r="BO309" s="16184"/>
      <c r="BP309" s="16184"/>
      <c r="BQ309" s="16184"/>
      <c r="BR309" s="16184"/>
      <c r="BS309" s="16184"/>
      <c r="BT309" s="16184"/>
      <c r="BU309" s="16184"/>
      <c r="BV309" s="16184"/>
      <c r="BW309" s="16184"/>
      <c r="BX309" s="16185"/>
      <c r="BY309" s="16183"/>
      <c r="BZ309" s="16184"/>
      <c r="CA309" s="16184"/>
      <c r="CB309" s="16184"/>
      <c r="CC309" s="16184"/>
      <c r="CD309" s="16184"/>
      <c r="CE309" s="16184"/>
      <c r="CF309" s="16184"/>
      <c r="CG309" s="16184"/>
      <c r="CH309" s="16184"/>
      <c r="CI309" s="16185"/>
      <c r="CJ309" s="16183"/>
      <c r="CK309" s="16184"/>
      <c r="CL309" s="16184"/>
      <c r="CM309" s="16184"/>
      <c r="CN309" s="16184"/>
      <c r="CO309" s="16184"/>
      <c r="CP309" s="16184"/>
      <c r="CQ309" s="16184"/>
      <c r="CR309" s="16184"/>
      <c r="CS309" s="16184"/>
      <c r="CT309" s="16185"/>
      <c r="CU309" s="16183"/>
      <c r="CV309" s="16184"/>
      <c r="CW309" s="16184"/>
      <c r="CX309" s="16184"/>
      <c r="CY309" s="16184"/>
      <c r="CZ309" s="16184"/>
      <c r="DA309" s="16184"/>
      <c r="DB309" s="16184"/>
      <c r="DC309" s="16184"/>
      <c r="DD309" s="16184"/>
      <c r="DE309" s="16185"/>
      <c r="DF309" s="16183"/>
      <c r="DG309" s="16184"/>
      <c r="DH309" s="16184"/>
      <c r="DI309" s="16184"/>
      <c r="DJ309" s="16184"/>
      <c r="DK309" s="16184"/>
      <c r="DL309" s="16184"/>
      <c r="DM309" s="16184"/>
      <c r="DN309" s="16184"/>
      <c r="DO309" s="16184"/>
      <c r="DP309" s="16185"/>
      <c r="DQ309" s="16183"/>
      <c r="DR309" s="16184"/>
      <c r="DS309" s="16184"/>
      <c r="DT309" s="16184"/>
      <c r="DU309" s="16184"/>
      <c r="DV309" s="16184"/>
      <c r="DW309" s="16184"/>
      <c r="DX309" s="16184"/>
      <c r="DY309" s="16184"/>
      <c r="DZ309" s="16184"/>
      <c r="EA309" s="16185"/>
      <c r="EB309" s="16183"/>
      <c r="EC309" s="16184"/>
      <c r="ED309" s="16184"/>
      <c r="EE309" s="16184"/>
      <c r="EF309" s="16184"/>
      <c r="EG309" s="16184"/>
      <c r="EH309" s="16184"/>
      <c r="EI309" s="16184"/>
      <c r="EJ309" s="16184"/>
      <c r="EK309" s="16184"/>
      <c r="EL309" s="16200"/>
      <c r="EM309" s="16183"/>
      <c r="EN309" s="16184"/>
      <c r="EO309" s="16184"/>
      <c r="EP309" s="16184"/>
      <c r="EQ309" s="16184"/>
      <c r="ER309" s="16184"/>
      <c r="ES309" s="16184"/>
      <c r="ET309" s="16184"/>
      <c r="EU309" s="16184"/>
      <c r="EV309" s="16184"/>
      <c r="EW309" s="16185"/>
      <c r="EX309" s="16188"/>
      <c r="EY309" s="10499" t="s">
        <v>619</v>
      </c>
      <c r="EZ309" s="10500"/>
      <c r="FA309" s="10501"/>
      <c r="FB309" s="10501" t="str">
        <f t="shared" si="5"/>
        <v>Наименование признака дифференциации</v>
      </c>
      <c r="FC309" s="10501"/>
      <c r="FD309" s="10501"/>
    </row>
    <row r="310" spans="1:160" s="15642" customFormat="1" ht="23.25" customHeight="1">
      <c r="A310" s="10490"/>
      <c r="B310" s="10490"/>
      <c r="C310" s="10490"/>
      <c r="D310" s="10490"/>
      <c r="E310" s="16125"/>
      <c r="F310" s="16125" t="s">
        <v>90</v>
      </c>
      <c r="G310" s="16125"/>
      <c r="H310" s="16125"/>
      <c r="I310" s="16145"/>
      <c r="J310" s="16122" t="str">
        <f>I309&amp;".1"</f>
        <v>3.5.1.1.1</v>
      </c>
      <c r="K310" s="10490"/>
      <c r="L310" s="10491" t="s">
        <v>543</v>
      </c>
      <c r="M310" s="10508"/>
      <c r="N310" s="10508"/>
      <c r="O310" s="10508"/>
      <c r="P310" s="16123"/>
      <c r="Q310" s="16123">
        <v>1</v>
      </c>
      <c r="R310" s="10512"/>
      <c r="S310" s="10496" t="str">
        <f>$J310</f>
        <v>3.5.1.1.1</v>
      </c>
      <c r="T310" s="10513" t="s">
        <v>544</v>
      </c>
      <c r="U310" s="10498"/>
      <c r="V310" s="16113"/>
      <c r="W310" s="16114"/>
      <c r="X310" s="16114"/>
      <c r="Y310" s="16114"/>
      <c r="Z310" s="16114"/>
      <c r="AA310" s="16114"/>
      <c r="AB310" s="16114"/>
      <c r="AC310" s="16114"/>
      <c r="AD310" s="16114"/>
      <c r="AE310" s="16114"/>
      <c r="AF310" s="16115"/>
      <c r="AG310" s="16113" t="s">
        <v>679</v>
      </c>
      <c r="AH310" s="16114"/>
      <c r="AI310" s="16114"/>
      <c r="AJ310" s="16114"/>
      <c r="AK310" s="16114"/>
      <c r="AL310" s="16114"/>
      <c r="AM310" s="16114"/>
      <c r="AN310" s="16114"/>
      <c r="AO310" s="16114"/>
      <c r="AP310" s="16114"/>
      <c r="AQ310" s="16114"/>
      <c r="AR310" s="16113"/>
      <c r="AS310" s="16114"/>
      <c r="AT310" s="16114"/>
      <c r="AU310" s="16114"/>
      <c r="AV310" s="16114"/>
      <c r="AW310" s="16114"/>
      <c r="AX310" s="16114"/>
      <c r="AY310" s="16114"/>
      <c r="AZ310" s="16114"/>
      <c r="BA310" s="16114"/>
      <c r="BB310" s="16115"/>
      <c r="BC310" s="16113"/>
      <c r="BD310" s="16114"/>
      <c r="BE310" s="16114"/>
      <c r="BF310" s="16114"/>
      <c r="BG310" s="16114"/>
      <c r="BH310" s="16114"/>
      <c r="BI310" s="16114"/>
      <c r="BJ310" s="16114"/>
      <c r="BK310" s="16114"/>
      <c r="BL310" s="16114"/>
      <c r="BM310" s="16115"/>
      <c r="BN310" s="16113"/>
      <c r="BO310" s="16114"/>
      <c r="BP310" s="16114"/>
      <c r="BQ310" s="16114"/>
      <c r="BR310" s="16114"/>
      <c r="BS310" s="16114"/>
      <c r="BT310" s="16114"/>
      <c r="BU310" s="16114"/>
      <c r="BV310" s="16114"/>
      <c r="BW310" s="16114"/>
      <c r="BX310" s="16115"/>
      <c r="BY310" s="16113"/>
      <c r="BZ310" s="16114"/>
      <c r="CA310" s="16114"/>
      <c r="CB310" s="16114"/>
      <c r="CC310" s="16114"/>
      <c r="CD310" s="16114"/>
      <c r="CE310" s="16114"/>
      <c r="CF310" s="16114"/>
      <c r="CG310" s="16114"/>
      <c r="CH310" s="16114"/>
      <c r="CI310" s="16115"/>
      <c r="CJ310" s="16113"/>
      <c r="CK310" s="16114"/>
      <c r="CL310" s="16114"/>
      <c r="CM310" s="16114"/>
      <c r="CN310" s="16114"/>
      <c r="CO310" s="16114"/>
      <c r="CP310" s="16114"/>
      <c r="CQ310" s="16114"/>
      <c r="CR310" s="16114"/>
      <c r="CS310" s="16114"/>
      <c r="CT310" s="16115"/>
      <c r="CU310" s="16113"/>
      <c r="CV310" s="16114"/>
      <c r="CW310" s="16114"/>
      <c r="CX310" s="16114"/>
      <c r="CY310" s="16114"/>
      <c r="CZ310" s="16114"/>
      <c r="DA310" s="16114"/>
      <c r="DB310" s="16114"/>
      <c r="DC310" s="16114"/>
      <c r="DD310" s="16114"/>
      <c r="DE310" s="16115"/>
      <c r="DF310" s="16113"/>
      <c r="DG310" s="16114"/>
      <c r="DH310" s="16114"/>
      <c r="DI310" s="16114"/>
      <c r="DJ310" s="16114"/>
      <c r="DK310" s="16114"/>
      <c r="DL310" s="16114"/>
      <c r="DM310" s="16114"/>
      <c r="DN310" s="16114"/>
      <c r="DO310" s="16114"/>
      <c r="DP310" s="16115"/>
      <c r="DQ310" s="16113"/>
      <c r="DR310" s="16114"/>
      <c r="DS310" s="16114"/>
      <c r="DT310" s="16114"/>
      <c r="DU310" s="16114"/>
      <c r="DV310" s="16114"/>
      <c r="DW310" s="16114"/>
      <c r="DX310" s="16114"/>
      <c r="DY310" s="16114"/>
      <c r="DZ310" s="16114"/>
      <c r="EA310" s="16115"/>
      <c r="EB310" s="16113"/>
      <c r="EC310" s="16114"/>
      <c r="ED310" s="16114"/>
      <c r="EE310" s="16114"/>
      <c r="EF310" s="16114"/>
      <c r="EG310" s="16114"/>
      <c r="EH310" s="16114"/>
      <c r="EI310" s="16114"/>
      <c r="EJ310" s="16114"/>
      <c r="EK310" s="16114"/>
      <c r="EL310" s="16201"/>
      <c r="EM310" s="16113"/>
      <c r="EN310" s="16114"/>
      <c r="EO310" s="16114"/>
      <c r="EP310" s="16114"/>
      <c r="EQ310" s="16114"/>
      <c r="ER310" s="16114"/>
      <c r="ES310" s="16114"/>
      <c r="ET310" s="16114"/>
      <c r="EU310" s="16114"/>
      <c r="EV310" s="16114"/>
      <c r="EW310" s="16115"/>
      <c r="EX310" s="16115"/>
      <c r="EY310" s="10514" t="s">
        <v>620</v>
      </c>
      <c r="EZ310" s="10500"/>
      <c r="FA310" s="10501"/>
      <c r="FB310" s="10501" t="str">
        <f t="shared" si="5"/>
        <v>Группа потребителей</v>
      </c>
      <c r="FC310" s="10501"/>
      <c r="FD310" s="10501"/>
    </row>
    <row r="311" spans="1:160" s="15643" customFormat="1" ht="23.25" customHeight="1">
      <c r="A311" s="10490"/>
      <c r="B311" s="10490"/>
      <c r="C311" s="10490"/>
      <c r="D311" s="10490"/>
      <c r="E311" s="16125"/>
      <c r="F311" s="16125" t="s">
        <v>90</v>
      </c>
      <c r="G311" s="16125"/>
      <c r="H311" s="16125"/>
      <c r="I311" s="16145"/>
      <c r="J311" s="16145"/>
      <c r="K311" s="16122" t="str">
        <f>J310&amp;".1"</f>
        <v>3.5.1.1.1.1</v>
      </c>
      <c r="L311" s="10491"/>
      <c r="M311" s="10508"/>
      <c r="N311" s="10508"/>
      <c r="O311" s="10508"/>
      <c r="P311" s="16123"/>
      <c r="Q311" s="16123"/>
      <c r="R311" s="10512">
        <v>1</v>
      </c>
      <c r="S311" s="10496" t="str">
        <f>$K311</f>
        <v>3.5.1.1.1.1</v>
      </c>
      <c r="T311" s="10515"/>
      <c r="U311" s="10498"/>
      <c r="V311" s="10516"/>
      <c r="W311" s="10516"/>
      <c r="X311" s="10516"/>
      <c r="Y311" s="10516"/>
      <c r="Z311" s="10516"/>
      <c r="AA311" s="10516"/>
      <c r="AB311" s="10516"/>
      <c r="AC311" s="16127"/>
      <c r="AD311" s="15973" t="s">
        <v>66</v>
      </c>
      <c r="AE311" s="16127"/>
      <c r="AF311" s="15973" t="s">
        <v>66</v>
      </c>
      <c r="AG311" s="10516">
        <v>35.07</v>
      </c>
      <c r="AH311" s="10516"/>
      <c r="AI311" s="10516"/>
      <c r="AJ311" s="10516"/>
      <c r="AK311" s="10516">
        <v>5211.17</v>
      </c>
      <c r="AL311" s="10516"/>
      <c r="AM311" s="10516"/>
      <c r="AN311" s="16127">
        <v>45292</v>
      </c>
      <c r="AO311" s="15973" t="s">
        <v>66</v>
      </c>
      <c r="AP311" s="16146">
        <v>45378</v>
      </c>
      <c r="AQ311" s="15973" t="s">
        <v>66</v>
      </c>
      <c r="AR311" s="10516">
        <v>35.07</v>
      </c>
      <c r="AS311" s="10516"/>
      <c r="AT311" s="10516"/>
      <c r="AU311" s="10516"/>
      <c r="AV311" s="10516">
        <v>5211.17</v>
      </c>
      <c r="AW311" s="10516"/>
      <c r="AX311" s="10516"/>
      <c r="AY311" s="16127">
        <v>45379</v>
      </c>
      <c r="AZ311" s="15973" t="s">
        <v>66</v>
      </c>
      <c r="BA311" s="16127">
        <v>45473</v>
      </c>
      <c r="BB311" s="15973" t="s">
        <v>66</v>
      </c>
      <c r="BC311" s="10516">
        <v>38.96</v>
      </c>
      <c r="BD311" s="10516"/>
      <c r="BE311" s="10516"/>
      <c r="BF311" s="10516"/>
      <c r="BG311" s="10516">
        <v>5493.65</v>
      </c>
      <c r="BH311" s="10516"/>
      <c r="BI311" s="10516"/>
      <c r="BJ311" s="16127">
        <v>45474</v>
      </c>
      <c r="BK311" s="15973" t="s">
        <v>66</v>
      </c>
      <c r="BL311" s="16127">
        <v>45657</v>
      </c>
      <c r="BM311" s="15973" t="s">
        <v>66</v>
      </c>
      <c r="BN311" s="10516">
        <v>37.31</v>
      </c>
      <c r="BO311" s="10516"/>
      <c r="BP311" s="10516"/>
      <c r="BQ311" s="10516"/>
      <c r="BR311" s="10516">
        <v>5407.73</v>
      </c>
      <c r="BS311" s="10516"/>
      <c r="BT311" s="10516"/>
      <c r="BU311" s="16127">
        <v>45658</v>
      </c>
      <c r="BV311" s="15973" t="s">
        <v>66</v>
      </c>
      <c r="BW311" s="16127">
        <v>45838</v>
      </c>
      <c r="BX311" s="15973" t="s">
        <v>66</v>
      </c>
      <c r="BY311" s="10516">
        <v>37.369999999999997</v>
      </c>
      <c r="BZ311" s="10516"/>
      <c r="CA311" s="10516"/>
      <c r="CB311" s="10516"/>
      <c r="CC311" s="10516">
        <v>5407.73</v>
      </c>
      <c r="CD311" s="10516"/>
      <c r="CE311" s="10516"/>
      <c r="CF311" s="16127">
        <v>45839</v>
      </c>
      <c r="CG311" s="15973" t="s">
        <v>66</v>
      </c>
      <c r="CH311" s="16127">
        <v>46022</v>
      </c>
      <c r="CI311" s="15973" t="s">
        <v>66</v>
      </c>
      <c r="CJ311" s="10516">
        <v>37.369999999999997</v>
      </c>
      <c r="CK311" s="10516"/>
      <c r="CL311" s="10516"/>
      <c r="CM311" s="10516"/>
      <c r="CN311" s="10516">
        <v>5407.73</v>
      </c>
      <c r="CO311" s="10516"/>
      <c r="CP311" s="10516"/>
      <c r="CQ311" s="16127">
        <v>46023</v>
      </c>
      <c r="CR311" s="15973" t="s">
        <v>66</v>
      </c>
      <c r="CS311" s="16127">
        <v>46203</v>
      </c>
      <c r="CT311" s="15973" t="s">
        <v>66</v>
      </c>
      <c r="CU311" s="10516">
        <v>39.51</v>
      </c>
      <c r="CV311" s="10516"/>
      <c r="CW311" s="10516"/>
      <c r="CX311" s="10516"/>
      <c r="CY311" s="10516">
        <v>5624.04</v>
      </c>
      <c r="CZ311" s="10516"/>
      <c r="DA311" s="10516"/>
      <c r="DB311" s="16127">
        <v>46204</v>
      </c>
      <c r="DC311" s="15973" t="s">
        <v>66</v>
      </c>
      <c r="DD311" s="16127">
        <v>46387</v>
      </c>
      <c r="DE311" s="15973" t="s">
        <v>66</v>
      </c>
      <c r="DF311" s="10516">
        <v>39.51</v>
      </c>
      <c r="DG311" s="10516"/>
      <c r="DH311" s="10516"/>
      <c r="DI311" s="10516"/>
      <c r="DJ311" s="10516">
        <v>5624.04</v>
      </c>
      <c r="DK311" s="10516"/>
      <c r="DL311" s="10516"/>
      <c r="DM311" s="16127">
        <v>46388</v>
      </c>
      <c r="DN311" s="15973" t="s">
        <v>66</v>
      </c>
      <c r="DO311" s="16127">
        <v>46568</v>
      </c>
      <c r="DP311" s="15973" t="s">
        <v>66</v>
      </c>
      <c r="DQ311" s="10516">
        <v>39.82</v>
      </c>
      <c r="DR311" s="10516"/>
      <c r="DS311" s="10516"/>
      <c r="DT311" s="10516"/>
      <c r="DU311" s="10516">
        <v>5735.19</v>
      </c>
      <c r="DV311" s="10516"/>
      <c r="DW311" s="10516"/>
      <c r="DX311" s="16127">
        <v>46569</v>
      </c>
      <c r="DY311" s="15973" t="s">
        <v>66</v>
      </c>
      <c r="DZ311" s="16127">
        <v>46752</v>
      </c>
      <c r="EA311" s="15973" t="s">
        <v>66</v>
      </c>
      <c r="EB311" s="10516">
        <v>39.82</v>
      </c>
      <c r="EC311" s="10516"/>
      <c r="ED311" s="10516"/>
      <c r="EE311" s="10516"/>
      <c r="EF311" s="10516">
        <v>5735.19</v>
      </c>
      <c r="EG311" s="10516"/>
      <c r="EH311" s="10516"/>
      <c r="EI311" s="16127">
        <v>46753</v>
      </c>
      <c r="EJ311" s="15973" t="s">
        <v>66</v>
      </c>
      <c r="EK311" s="16127">
        <v>46934</v>
      </c>
      <c r="EL311" s="16202" t="s">
        <v>66</v>
      </c>
      <c r="EM311" s="14448">
        <v>41.41</v>
      </c>
      <c r="EN311" s="14448"/>
      <c r="EO311" s="14448"/>
      <c r="EP311" s="14448"/>
      <c r="EQ311" s="14448">
        <v>5928.76</v>
      </c>
      <c r="ER311" s="14448"/>
      <c r="ES311" s="14448"/>
      <c r="ET311" s="16127">
        <v>46935</v>
      </c>
      <c r="EU311" s="15973" t="s">
        <v>66</v>
      </c>
      <c r="EV311" s="16127">
        <v>47118</v>
      </c>
      <c r="EW311" s="15973" t="s">
        <v>66</v>
      </c>
      <c r="EX311" s="10517"/>
      <c r="EY31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311" s="10500" t="e">
        <f ca="1">STRCHECKDATE(V312:EX312)</f>
        <v>#NAME?</v>
      </c>
      <c r="FA311" s="10501"/>
      <c r="FB311" s="10501" t="str">
        <f t="shared" si="5"/>
        <v/>
      </c>
      <c r="FC311" s="10501"/>
      <c r="FD311" s="10501"/>
    </row>
    <row r="312" spans="1:160" s="15644" customFormat="1" ht="14.25" customHeight="1">
      <c r="A312" s="10490"/>
      <c r="B312" s="10490"/>
      <c r="C312" s="10490"/>
      <c r="D312" s="10490"/>
      <c r="E312" s="16125"/>
      <c r="F312" s="16125" t="s">
        <v>90</v>
      </c>
      <c r="G312" s="16125"/>
      <c r="H312" s="16125"/>
      <c r="I312" s="16145"/>
      <c r="J312" s="16145"/>
      <c r="K312" s="16122"/>
      <c r="L312" s="10491"/>
      <c r="M312" s="10508"/>
      <c r="N312" s="10508"/>
      <c r="O312" s="10508"/>
      <c r="P312" s="16123"/>
      <c r="Q312" s="16123"/>
      <c r="R312" s="10512"/>
      <c r="S312" s="10518"/>
      <c r="T312" s="10498"/>
      <c r="U312" s="10498"/>
      <c r="V312" s="10519"/>
      <c r="W312" s="10519"/>
      <c r="X312" s="10519"/>
      <c r="Y312" s="10519"/>
      <c r="Z312" s="10519"/>
      <c r="AA312" s="10519"/>
      <c r="AB312" s="10519"/>
      <c r="AC312" s="16128"/>
      <c r="AD312" s="15973"/>
      <c r="AE312" s="16128"/>
      <c r="AF312" s="15973"/>
      <c r="AG312" s="10519"/>
      <c r="AH312" s="10519"/>
      <c r="AI312" s="10519"/>
      <c r="AJ312" s="10519"/>
      <c r="AK312" s="10519"/>
      <c r="AL312" s="10519"/>
      <c r="AM312" s="10519"/>
      <c r="AN312" s="16128"/>
      <c r="AO312" s="15973"/>
      <c r="AP312" s="16147"/>
      <c r="AQ312" s="15973"/>
      <c r="AR312" s="10519"/>
      <c r="AS312" s="10519"/>
      <c r="AT312" s="10519"/>
      <c r="AU312" s="10519"/>
      <c r="AV312" s="10519"/>
      <c r="AW312" s="10519"/>
      <c r="AX312" s="10519"/>
      <c r="AY312" s="16128"/>
      <c r="AZ312" s="15973"/>
      <c r="BA312" s="16128"/>
      <c r="BB312" s="15973"/>
      <c r="BC312" s="10519"/>
      <c r="BD312" s="10519"/>
      <c r="BE312" s="10519"/>
      <c r="BF312" s="10519"/>
      <c r="BG312" s="10519"/>
      <c r="BH312" s="10519"/>
      <c r="BI312" s="10519"/>
      <c r="BJ312" s="16128"/>
      <c r="BK312" s="15973"/>
      <c r="BL312" s="16128"/>
      <c r="BM312" s="15973"/>
      <c r="BN312" s="10519"/>
      <c r="BO312" s="10519"/>
      <c r="BP312" s="10519"/>
      <c r="BQ312" s="10519"/>
      <c r="BR312" s="10519"/>
      <c r="BS312" s="10519"/>
      <c r="BT312" s="10519"/>
      <c r="BU312" s="16128"/>
      <c r="BV312" s="15973"/>
      <c r="BW312" s="16128"/>
      <c r="BX312" s="15973"/>
      <c r="BY312" s="10519"/>
      <c r="BZ312" s="10519"/>
      <c r="CA312" s="10519"/>
      <c r="CB312" s="10519"/>
      <c r="CC312" s="10519"/>
      <c r="CD312" s="10519"/>
      <c r="CE312" s="10519"/>
      <c r="CF312" s="16128"/>
      <c r="CG312" s="15973"/>
      <c r="CH312" s="16128"/>
      <c r="CI312" s="15973"/>
      <c r="CJ312" s="10519"/>
      <c r="CK312" s="10519"/>
      <c r="CL312" s="10519"/>
      <c r="CM312" s="10519"/>
      <c r="CN312" s="10519"/>
      <c r="CO312" s="10519"/>
      <c r="CP312" s="10519"/>
      <c r="CQ312" s="16128"/>
      <c r="CR312" s="15973"/>
      <c r="CS312" s="16128"/>
      <c r="CT312" s="15973"/>
      <c r="CU312" s="10519"/>
      <c r="CV312" s="10519"/>
      <c r="CW312" s="10519"/>
      <c r="CX312" s="10519"/>
      <c r="CY312" s="10519"/>
      <c r="CZ312" s="10519"/>
      <c r="DA312" s="10519"/>
      <c r="DB312" s="16128"/>
      <c r="DC312" s="15973"/>
      <c r="DD312" s="16128"/>
      <c r="DE312" s="15973"/>
      <c r="DF312" s="10519"/>
      <c r="DG312" s="10519"/>
      <c r="DH312" s="10519"/>
      <c r="DI312" s="10519"/>
      <c r="DJ312" s="10519"/>
      <c r="DK312" s="10519"/>
      <c r="DL312" s="10519"/>
      <c r="DM312" s="16128"/>
      <c r="DN312" s="15973"/>
      <c r="DO312" s="16128"/>
      <c r="DP312" s="15973"/>
      <c r="DQ312" s="10519"/>
      <c r="DR312" s="10519"/>
      <c r="DS312" s="10519"/>
      <c r="DT312" s="10519"/>
      <c r="DU312" s="10519"/>
      <c r="DV312" s="10519"/>
      <c r="DW312" s="10519"/>
      <c r="DX312" s="16128"/>
      <c r="DY312" s="15973"/>
      <c r="DZ312" s="16128"/>
      <c r="EA312" s="15973"/>
      <c r="EB312" s="10519"/>
      <c r="EC312" s="10519"/>
      <c r="ED312" s="10519"/>
      <c r="EE312" s="10519"/>
      <c r="EF312" s="10519"/>
      <c r="EG312" s="10519"/>
      <c r="EH312" s="10519"/>
      <c r="EI312" s="16128"/>
      <c r="EJ312" s="15973"/>
      <c r="EK312" s="16128"/>
      <c r="EL312" s="16202"/>
      <c r="EM312" s="14449"/>
      <c r="EN312" s="14449"/>
      <c r="EO312" s="14449"/>
      <c r="EP312" s="14449"/>
      <c r="EQ312" s="14449"/>
      <c r="ER312" s="14449"/>
      <c r="ES312" s="14449"/>
      <c r="ET312" s="16128"/>
      <c r="EU312" s="15973"/>
      <c r="EV312" s="16128"/>
      <c r="EW312" s="15973"/>
      <c r="EX312" s="10520"/>
      <c r="EY312" s="16182"/>
      <c r="EZ312" s="10500"/>
      <c r="FA312" s="10501"/>
      <c r="FB312" s="10501" t="str">
        <f t="shared" si="5"/>
        <v/>
      </c>
      <c r="FC312" s="10501"/>
      <c r="FD312" s="10501"/>
    </row>
    <row r="313" spans="1:160" s="15645" customFormat="1" ht="21" customHeight="1">
      <c r="A313" s="10490"/>
      <c r="B313" s="10490"/>
      <c r="C313" s="10490"/>
      <c r="D313" s="10490"/>
      <c r="E313" s="16125"/>
      <c r="F313" s="16125" t="s">
        <v>90</v>
      </c>
      <c r="G313" s="16125"/>
      <c r="H313" s="16125"/>
      <c r="I313" s="16145"/>
      <c r="J313" s="16122"/>
      <c r="K313" s="10490"/>
      <c r="L313" s="10491"/>
      <c r="M313" s="10508"/>
      <c r="N313" s="10508"/>
      <c r="O313" s="10508"/>
      <c r="P313" s="16123"/>
      <c r="Q313" s="16123"/>
      <c r="R313" s="10510"/>
      <c r="S313" s="12417"/>
      <c r="T313" s="12418" t="s">
        <v>621</v>
      </c>
      <c r="U313" s="12419"/>
      <c r="V313" s="12420"/>
      <c r="W313" s="12421"/>
      <c r="X313" s="12422"/>
      <c r="Y313" s="12423"/>
      <c r="Z313" s="12424"/>
      <c r="AA313" s="12425"/>
      <c r="AB313" s="12426"/>
      <c r="AC313" s="12427"/>
      <c r="AD313" s="12428"/>
      <c r="AE313" s="12429"/>
      <c r="AF313" s="12430"/>
      <c r="AG313" s="12431"/>
      <c r="AH313" s="12432"/>
      <c r="AI313" s="12433"/>
      <c r="AJ313" s="12434"/>
      <c r="AK313" s="12435"/>
      <c r="AL313" s="12436"/>
      <c r="AM313" s="12437"/>
      <c r="AN313" s="12438"/>
      <c r="AO313" s="12439"/>
      <c r="AP313" s="12440"/>
      <c r="AQ313" s="12441"/>
      <c r="AR313" s="12442"/>
      <c r="AS313" s="12443"/>
      <c r="AT313" s="12444"/>
      <c r="AU313" s="12445"/>
      <c r="AV313" s="12446"/>
      <c r="AW313" s="12447"/>
      <c r="AX313" s="12448"/>
      <c r="AY313" s="12449"/>
      <c r="AZ313" s="12450"/>
      <c r="BA313" s="12451"/>
      <c r="BB313" s="12452"/>
      <c r="BC313" s="12453"/>
      <c r="BD313" s="12454"/>
      <c r="BE313" s="12455"/>
      <c r="BF313" s="12456"/>
      <c r="BG313" s="12457"/>
      <c r="BH313" s="12458"/>
      <c r="BI313" s="12459"/>
      <c r="BJ313" s="12460"/>
      <c r="BK313" s="12461"/>
      <c r="BL313" s="12462"/>
      <c r="BM313" s="12463"/>
      <c r="BN313" s="12464"/>
      <c r="BO313" s="12465"/>
      <c r="BP313" s="12466"/>
      <c r="BQ313" s="12467"/>
      <c r="BR313" s="12468"/>
      <c r="BS313" s="12469"/>
      <c r="BT313" s="12470"/>
      <c r="BU313" s="12471"/>
      <c r="BV313" s="12472"/>
      <c r="BW313" s="12473"/>
      <c r="BX313" s="12474"/>
      <c r="BY313" s="12475"/>
      <c r="BZ313" s="12476"/>
      <c r="CA313" s="12477"/>
      <c r="CB313" s="12478"/>
      <c r="CC313" s="12479"/>
      <c r="CD313" s="12480"/>
      <c r="CE313" s="12481"/>
      <c r="CF313" s="12482"/>
      <c r="CG313" s="12483"/>
      <c r="CH313" s="12484"/>
      <c r="CI313" s="12485"/>
      <c r="CJ313" s="12486"/>
      <c r="CK313" s="12487"/>
      <c r="CL313" s="12488"/>
      <c r="CM313" s="12489"/>
      <c r="CN313" s="12490"/>
      <c r="CO313" s="12491"/>
      <c r="CP313" s="12492"/>
      <c r="CQ313" s="12493"/>
      <c r="CR313" s="12494"/>
      <c r="CS313" s="12495"/>
      <c r="CT313" s="12496"/>
      <c r="CU313" s="12497"/>
      <c r="CV313" s="12498"/>
      <c r="CW313" s="12499"/>
      <c r="CX313" s="12500"/>
      <c r="CY313" s="12501"/>
      <c r="CZ313" s="12502"/>
      <c r="DA313" s="12503"/>
      <c r="DB313" s="12504"/>
      <c r="DC313" s="12505"/>
      <c r="DD313" s="12506"/>
      <c r="DE313" s="12507"/>
      <c r="DF313" s="12508"/>
      <c r="DG313" s="12509"/>
      <c r="DH313" s="12510"/>
      <c r="DI313" s="12511"/>
      <c r="DJ313" s="12512"/>
      <c r="DK313" s="12513"/>
      <c r="DL313" s="12514"/>
      <c r="DM313" s="12515"/>
      <c r="DN313" s="12516"/>
      <c r="DO313" s="12517"/>
      <c r="DP313" s="12518"/>
      <c r="DQ313" s="12519"/>
      <c r="DR313" s="12520"/>
      <c r="DS313" s="12521"/>
      <c r="DT313" s="12522"/>
      <c r="DU313" s="12523"/>
      <c r="DV313" s="12524"/>
      <c r="DW313" s="12525"/>
      <c r="DX313" s="12526"/>
      <c r="DY313" s="12527"/>
      <c r="DZ313" s="12528"/>
      <c r="EA313" s="12529"/>
      <c r="EB313" s="12530"/>
      <c r="EC313" s="12531"/>
      <c r="ED313" s="12532"/>
      <c r="EE313" s="12533"/>
      <c r="EF313" s="12534"/>
      <c r="EG313" s="12535"/>
      <c r="EH313" s="12536"/>
      <c r="EI313" s="12537"/>
      <c r="EJ313" s="12538"/>
      <c r="EK313" s="12539"/>
      <c r="EL313" s="12540"/>
      <c r="EM313" s="15646"/>
      <c r="EN313" s="15647"/>
      <c r="EO313" s="15648"/>
      <c r="EP313" s="15649"/>
      <c r="EQ313" s="15650"/>
      <c r="ER313" s="15651"/>
      <c r="ES313" s="15652"/>
      <c r="ET313" s="15653"/>
      <c r="EU313" s="15654"/>
      <c r="EV313" s="15655"/>
      <c r="EW313" s="15656"/>
      <c r="EX313" s="12541"/>
      <c r="EY313" s="10499" t="s">
        <v>622</v>
      </c>
      <c r="EZ313" s="10500"/>
      <c r="FA313" s="10501"/>
      <c r="FB313" s="10501" t="str">
        <f t="shared" si="5"/>
        <v>Добавить значение признака дифференциации</v>
      </c>
      <c r="FC313" s="10501"/>
      <c r="FD313" s="10501"/>
    </row>
    <row r="314" spans="1:160" s="15657" customFormat="1" ht="21" customHeight="1">
      <c r="A314" s="10490"/>
      <c r="B314" s="10490"/>
      <c r="C314" s="10490"/>
      <c r="D314" s="10490"/>
      <c r="E314" s="16125"/>
      <c r="F314" s="16125" t="s">
        <v>90</v>
      </c>
      <c r="G314" s="16125"/>
      <c r="H314" s="16125"/>
      <c r="I314" s="16122"/>
      <c r="J314" s="10490"/>
      <c r="K314" s="10490"/>
      <c r="L314" s="10491"/>
      <c r="M314" s="10508"/>
      <c r="N314" s="10508"/>
      <c r="O314" s="10508"/>
      <c r="P314" s="16123"/>
      <c r="Q314" s="10509"/>
      <c r="R314" s="10510"/>
      <c r="S314" s="12542"/>
      <c r="T314" s="12543" t="s">
        <v>549</v>
      </c>
      <c r="U314" s="12544"/>
      <c r="V314" s="12545"/>
      <c r="W314" s="12546"/>
      <c r="X314" s="12547"/>
      <c r="Y314" s="12548"/>
      <c r="Z314" s="12549"/>
      <c r="AA314" s="12550"/>
      <c r="AB314" s="12551"/>
      <c r="AC314" s="12552"/>
      <c r="AD314" s="12553"/>
      <c r="AE314" s="12554"/>
      <c r="AF314" s="12555"/>
      <c r="AG314" s="12556"/>
      <c r="AH314" s="12557"/>
      <c r="AI314" s="12558"/>
      <c r="AJ314" s="12559"/>
      <c r="AK314" s="12560"/>
      <c r="AL314" s="12561"/>
      <c r="AM314" s="12562"/>
      <c r="AN314" s="12563"/>
      <c r="AO314" s="12564"/>
      <c r="AP314" s="12565"/>
      <c r="AQ314" s="12566"/>
      <c r="AR314" s="12567"/>
      <c r="AS314" s="12568"/>
      <c r="AT314" s="12569"/>
      <c r="AU314" s="12570"/>
      <c r="AV314" s="12571"/>
      <c r="AW314" s="12572"/>
      <c r="AX314" s="12573"/>
      <c r="AY314" s="12574"/>
      <c r="AZ314" s="12575"/>
      <c r="BA314" s="12576"/>
      <c r="BB314" s="12577"/>
      <c r="BC314" s="12578"/>
      <c r="BD314" s="12579"/>
      <c r="BE314" s="12580"/>
      <c r="BF314" s="12581"/>
      <c r="BG314" s="12582"/>
      <c r="BH314" s="12583"/>
      <c r="BI314" s="12584"/>
      <c r="BJ314" s="12585"/>
      <c r="BK314" s="12586"/>
      <c r="BL314" s="12587"/>
      <c r="BM314" s="12588"/>
      <c r="BN314" s="12589"/>
      <c r="BO314" s="12590"/>
      <c r="BP314" s="12591"/>
      <c r="BQ314" s="12592"/>
      <c r="BR314" s="12593"/>
      <c r="BS314" s="12594"/>
      <c r="BT314" s="12595"/>
      <c r="BU314" s="12596"/>
      <c r="BV314" s="12597"/>
      <c r="BW314" s="12598"/>
      <c r="BX314" s="12599"/>
      <c r="BY314" s="12600"/>
      <c r="BZ314" s="12601"/>
      <c r="CA314" s="12602"/>
      <c r="CB314" s="12603"/>
      <c r="CC314" s="12604"/>
      <c r="CD314" s="12605"/>
      <c r="CE314" s="12606"/>
      <c r="CF314" s="12607"/>
      <c r="CG314" s="12608"/>
      <c r="CH314" s="12609"/>
      <c r="CI314" s="12610"/>
      <c r="CJ314" s="12611"/>
      <c r="CK314" s="12612"/>
      <c r="CL314" s="12613"/>
      <c r="CM314" s="12614"/>
      <c r="CN314" s="12615"/>
      <c r="CO314" s="12616"/>
      <c r="CP314" s="12617"/>
      <c r="CQ314" s="12618"/>
      <c r="CR314" s="12619"/>
      <c r="CS314" s="12620"/>
      <c r="CT314" s="12621"/>
      <c r="CU314" s="12622"/>
      <c r="CV314" s="12623"/>
      <c r="CW314" s="12624"/>
      <c r="CX314" s="12625"/>
      <c r="CY314" s="12626"/>
      <c r="CZ314" s="12627"/>
      <c r="DA314" s="12628"/>
      <c r="DB314" s="12629"/>
      <c r="DC314" s="12630"/>
      <c r="DD314" s="12631"/>
      <c r="DE314" s="12632"/>
      <c r="DF314" s="12633"/>
      <c r="DG314" s="12634"/>
      <c r="DH314" s="12635"/>
      <c r="DI314" s="12636"/>
      <c r="DJ314" s="12637"/>
      <c r="DK314" s="12638"/>
      <c r="DL314" s="12639"/>
      <c r="DM314" s="12640"/>
      <c r="DN314" s="12641"/>
      <c r="DO314" s="12642"/>
      <c r="DP314" s="12643"/>
      <c r="DQ314" s="12644"/>
      <c r="DR314" s="12645"/>
      <c r="DS314" s="12646"/>
      <c r="DT314" s="12647"/>
      <c r="DU314" s="12648"/>
      <c r="DV314" s="12649"/>
      <c r="DW314" s="12650"/>
      <c r="DX314" s="12651"/>
      <c r="DY314" s="12652"/>
      <c r="DZ314" s="12653"/>
      <c r="EA314" s="12654"/>
      <c r="EB314" s="12655"/>
      <c r="EC314" s="12656"/>
      <c r="ED314" s="12657"/>
      <c r="EE314" s="12658"/>
      <c r="EF314" s="12659"/>
      <c r="EG314" s="12660"/>
      <c r="EH314" s="12661"/>
      <c r="EI314" s="12662"/>
      <c r="EJ314" s="12663"/>
      <c r="EK314" s="12664"/>
      <c r="EL314" s="12665"/>
      <c r="EM314" s="15658"/>
      <c r="EN314" s="15659"/>
      <c r="EO314" s="15660"/>
      <c r="EP314" s="15661"/>
      <c r="EQ314" s="15662"/>
      <c r="ER314" s="15663"/>
      <c r="ES314" s="15664"/>
      <c r="ET314" s="15665"/>
      <c r="EU314" s="15666"/>
      <c r="EV314" s="15667"/>
      <c r="EW314" s="15668"/>
      <c r="EX314" s="12666"/>
      <c r="EY314" s="12667"/>
      <c r="EZ314" s="10500"/>
      <c r="FA314" s="10501"/>
      <c r="FB314" s="10501" t="str">
        <f t="shared" si="5"/>
        <v>Добавить группу потребителей</v>
      </c>
      <c r="FC314" s="10501"/>
      <c r="FD314" s="10501"/>
    </row>
    <row r="315" spans="1:160" s="15669" customFormat="1" ht="21" customHeight="1">
      <c r="A315" s="10490"/>
      <c r="B315" s="10490"/>
      <c r="C315" s="10490"/>
      <c r="D315" s="10490"/>
      <c r="E315" s="16125"/>
      <c r="F315" s="16125" t="s">
        <v>90</v>
      </c>
      <c r="G315" s="16125"/>
      <c r="H315" s="16124"/>
      <c r="I315" s="10490"/>
      <c r="J315" s="10490"/>
      <c r="K315" s="10490"/>
      <c r="L315" s="10491"/>
      <c r="M315" s="10492"/>
      <c r="N315" s="10492"/>
      <c r="O315" s="10772"/>
      <c r="P315" s="10494"/>
      <c r="Q315" s="10773"/>
      <c r="R315" s="10495"/>
      <c r="S315" s="12668"/>
      <c r="T315" s="12669" t="s">
        <v>623</v>
      </c>
      <c r="U315" s="12670"/>
      <c r="V315" s="12671"/>
      <c r="W315" s="12672"/>
      <c r="X315" s="12673"/>
      <c r="Y315" s="12674"/>
      <c r="Z315" s="12675"/>
      <c r="AA315" s="12676"/>
      <c r="AB315" s="12677"/>
      <c r="AC315" s="12678"/>
      <c r="AD315" s="12679"/>
      <c r="AE315" s="12680"/>
      <c r="AF315" s="12681"/>
      <c r="AG315" s="12682"/>
      <c r="AH315" s="12683"/>
      <c r="AI315" s="12684"/>
      <c r="AJ315" s="12685"/>
      <c r="AK315" s="12686"/>
      <c r="AL315" s="12687"/>
      <c r="AM315" s="12688"/>
      <c r="AN315" s="12689"/>
      <c r="AO315" s="12690"/>
      <c r="AP315" s="12691"/>
      <c r="AQ315" s="12692"/>
      <c r="AR315" s="12693"/>
      <c r="AS315" s="12694"/>
      <c r="AT315" s="12695"/>
      <c r="AU315" s="12696"/>
      <c r="AV315" s="12697"/>
      <c r="AW315" s="12698"/>
      <c r="AX315" s="12699"/>
      <c r="AY315" s="12700"/>
      <c r="AZ315" s="12701"/>
      <c r="BA315" s="12702"/>
      <c r="BB315" s="12703"/>
      <c r="BC315" s="12704"/>
      <c r="BD315" s="12705"/>
      <c r="BE315" s="12706"/>
      <c r="BF315" s="12707"/>
      <c r="BG315" s="12708"/>
      <c r="BH315" s="12709"/>
      <c r="BI315" s="12710"/>
      <c r="BJ315" s="12711"/>
      <c r="BK315" s="12712"/>
      <c r="BL315" s="12713"/>
      <c r="BM315" s="12714"/>
      <c r="BN315" s="12715"/>
      <c r="BO315" s="12716"/>
      <c r="BP315" s="12717"/>
      <c r="BQ315" s="12718"/>
      <c r="BR315" s="12719"/>
      <c r="BS315" s="12720"/>
      <c r="BT315" s="12721"/>
      <c r="BU315" s="12722"/>
      <c r="BV315" s="12723"/>
      <c r="BW315" s="12724"/>
      <c r="BX315" s="12725"/>
      <c r="BY315" s="12726"/>
      <c r="BZ315" s="12727"/>
      <c r="CA315" s="12728"/>
      <c r="CB315" s="12729"/>
      <c r="CC315" s="12730"/>
      <c r="CD315" s="12731"/>
      <c r="CE315" s="12732"/>
      <c r="CF315" s="12733"/>
      <c r="CG315" s="12734"/>
      <c r="CH315" s="12735"/>
      <c r="CI315" s="12736"/>
      <c r="CJ315" s="12737"/>
      <c r="CK315" s="12738"/>
      <c r="CL315" s="12739"/>
      <c r="CM315" s="12740"/>
      <c r="CN315" s="12741"/>
      <c r="CO315" s="12742"/>
      <c r="CP315" s="12743"/>
      <c r="CQ315" s="12744"/>
      <c r="CR315" s="12745"/>
      <c r="CS315" s="12746"/>
      <c r="CT315" s="12747"/>
      <c r="CU315" s="12748"/>
      <c r="CV315" s="12749"/>
      <c r="CW315" s="12750"/>
      <c r="CX315" s="12751"/>
      <c r="CY315" s="12752"/>
      <c r="CZ315" s="12753"/>
      <c r="DA315" s="12754"/>
      <c r="DB315" s="12755"/>
      <c r="DC315" s="12756"/>
      <c r="DD315" s="12757"/>
      <c r="DE315" s="12758"/>
      <c r="DF315" s="12759"/>
      <c r="DG315" s="12760"/>
      <c r="DH315" s="12761"/>
      <c r="DI315" s="12762"/>
      <c r="DJ315" s="12763"/>
      <c r="DK315" s="12764"/>
      <c r="DL315" s="12765"/>
      <c r="DM315" s="12766"/>
      <c r="DN315" s="12767"/>
      <c r="DO315" s="12768"/>
      <c r="DP315" s="12769"/>
      <c r="DQ315" s="12770"/>
      <c r="DR315" s="12771"/>
      <c r="DS315" s="12772"/>
      <c r="DT315" s="12773"/>
      <c r="DU315" s="12774"/>
      <c r="DV315" s="12775"/>
      <c r="DW315" s="12776"/>
      <c r="DX315" s="12777"/>
      <c r="DY315" s="12778"/>
      <c r="DZ315" s="12779"/>
      <c r="EA315" s="12780"/>
      <c r="EB315" s="12781"/>
      <c r="EC315" s="12782"/>
      <c r="ED315" s="12783"/>
      <c r="EE315" s="12784"/>
      <c r="EF315" s="12785"/>
      <c r="EG315" s="12786"/>
      <c r="EH315" s="12787"/>
      <c r="EI315" s="12788"/>
      <c r="EJ315" s="12789"/>
      <c r="EK315" s="12790"/>
      <c r="EL315" s="12791"/>
      <c r="EM315" s="15670"/>
      <c r="EN315" s="15671"/>
      <c r="EO315" s="15672"/>
      <c r="EP315" s="15673"/>
      <c r="EQ315" s="15674"/>
      <c r="ER315" s="15675"/>
      <c r="ES315" s="15676"/>
      <c r="ET315" s="15677"/>
      <c r="EU315" s="15678"/>
      <c r="EV315" s="15679"/>
      <c r="EW315" s="15680"/>
      <c r="EX315" s="12792"/>
      <c r="EY315" s="12793"/>
      <c r="EZ315" s="10500"/>
      <c r="FA315" s="10501"/>
      <c r="FB315" s="10501" t="str">
        <f t="shared" si="5"/>
        <v>Добавить наименование признака дифференциации</v>
      </c>
      <c r="FC315" s="10501"/>
      <c r="FD315" s="10501"/>
    </row>
    <row r="316" spans="1:160" s="15681" customFormat="1" ht="14.25" customHeight="1">
      <c r="A316" s="11277"/>
      <c r="B316" s="11277"/>
      <c r="C316" s="11277"/>
      <c r="D316" s="11277"/>
      <c r="E316" s="16125"/>
      <c r="F316" s="16124" t="s">
        <v>90</v>
      </c>
      <c r="G316" s="11277"/>
      <c r="H316" s="11277"/>
      <c r="I316" s="11277"/>
      <c r="J316" s="11277"/>
      <c r="K316" s="11277"/>
      <c r="L316" s="11278"/>
      <c r="M316" s="11279"/>
      <c r="N316" s="11279"/>
      <c r="O316" s="10500"/>
      <c r="P316" s="11280"/>
      <c r="Q316" s="11281"/>
      <c r="R316" s="11280"/>
      <c r="S316" s="11282"/>
      <c r="T316" s="11283" t="s">
        <v>290</v>
      </c>
      <c r="U316" s="11284"/>
      <c r="V316" s="11284"/>
      <c r="W316" s="11284"/>
      <c r="X316" s="11284"/>
      <c r="Y316" s="11284"/>
      <c r="Z316" s="11284"/>
      <c r="AA316" s="11284"/>
      <c r="AB316" s="11284"/>
      <c r="AC316" s="11284"/>
      <c r="AD316" s="11284"/>
      <c r="AE316" s="11284"/>
      <c r="AF316" s="11284"/>
      <c r="AG316" s="11284"/>
      <c r="AH316" s="11284"/>
      <c r="AI316" s="11284"/>
      <c r="AJ316" s="11284"/>
      <c r="AK316" s="11284"/>
      <c r="AL316" s="11284"/>
      <c r="AM316" s="11284"/>
      <c r="AN316" s="11284"/>
      <c r="AO316" s="11284"/>
      <c r="AP316" s="11284"/>
      <c r="AQ316" s="11284"/>
      <c r="AR316" s="11284"/>
      <c r="AS316" s="11284"/>
      <c r="AT316" s="11284"/>
      <c r="AU316" s="11284"/>
      <c r="AV316" s="11284"/>
      <c r="AW316" s="11284"/>
      <c r="AX316" s="11284"/>
      <c r="AY316" s="11284"/>
      <c r="AZ316" s="11284"/>
      <c r="BA316" s="11284"/>
      <c r="BB316" s="11284"/>
      <c r="BC316" s="11284"/>
      <c r="BD316" s="11284"/>
      <c r="BE316" s="11284"/>
      <c r="BF316" s="11284"/>
      <c r="BG316" s="11284"/>
      <c r="BH316" s="11284"/>
      <c r="BI316" s="11284"/>
      <c r="BJ316" s="11284"/>
      <c r="BK316" s="11284"/>
      <c r="BL316" s="11284"/>
      <c r="BM316" s="11284"/>
      <c r="BN316" s="11284"/>
      <c r="BO316" s="11284"/>
      <c r="BP316" s="11284"/>
      <c r="BQ316" s="11284"/>
      <c r="BR316" s="11284"/>
      <c r="BS316" s="11284"/>
      <c r="BT316" s="11284"/>
      <c r="BU316" s="11284"/>
      <c r="BV316" s="11284"/>
      <c r="BW316" s="11284"/>
      <c r="BX316" s="11284"/>
      <c r="BY316" s="11284"/>
      <c r="BZ316" s="11284"/>
      <c r="CA316" s="11284"/>
      <c r="CB316" s="11284"/>
      <c r="CC316" s="11284"/>
      <c r="CD316" s="11284"/>
      <c r="CE316" s="11284"/>
      <c r="CF316" s="11284"/>
      <c r="CG316" s="11284"/>
      <c r="CH316" s="11284"/>
      <c r="CI316" s="11284"/>
      <c r="CJ316" s="11284"/>
      <c r="CK316" s="11284"/>
      <c r="CL316" s="11284"/>
      <c r="CM316" s="11284"/>
      <c r="CN316" s="11284"/>
      <c r="CO316" s="11284"/>
      <c r="CP316" s="11284"/>
      <c r="CQ316" s="11284"/>
      <c r="CR316" s="11284"/>
      <c r="CS316" s="11284"/>
      <c r="CT316" s="11284"/>
      <c r="CU316" s="11284"/>
      <c r="CV316" s="11284"/>
      <c r="CW316" s="11284"/>
      <c r="CX316" s="11284"/>
      <c r="CY316" s="11284"/>
      <c r="CZ316" s="11284"/>
      <c r="DA316" s="11284"/>
      <c r="DB316" s="11284"/>
      <c r="DC316" s="11284"/>
      <c r="DD316" s="11284"/>
      <c r="DE316" s="11284"/>
      <c r="DF316" s="11284"/>
      <c r="DG316" s="11284"/>
      <c r="DH316" s="11284"/>
      <c r="DI316" s="11284"/>
      <c r="DJ316" s="11284"/>
      <c r="DK316" s="11284"/>
      <c r="DL316" s="11284"/>
      <c r="DM316" s="11284"/>
      <c r="DN316" s="11284"/>
      <c r="DO316" s="11284"/>
      <c r="DP316" s="11284"/>
      <c r="DQ316" s="11284"/>
      <c r="DR316" s="11284"/>
      <c r="DS316" s="11284"/>
      <c r="DT316" s="11284"/>
      <c r="DU316" s="11284"/>
      <c r="DV316" s="11284"/>
      <c r="DW316" s="11284"/>
      <c r="DX316" s="11284"/>
      <c r="DY316" s="11284"/>
      <c r="DZ316" s="11284"/>
      <c r="EA316" s="11284"/>
      <c r="EB316" s="11284"/>
      <c r="EC316" s="11284"/>
      <c r="ED316" s="11284"/>
      <c r="EE316" s="11284"/>
      <c r="EF316" s="11284"/>
      <c r="EG316" s="11284"/>
      <c r="EH316" s="11284"/>
      <c r="EI316" s="11284"/>
      <c r="EJ316" s="11284"/>
      <c r="EK316" s="11284"/>
      <c r="EL316" s="11285"/>
      <c r="EM316" s="14483"/>
      <c r="EN316" s="14483"/>
      <c r="EO316" s="14483"/>
      <c r="EP316" s="14483"/>
      <c r="EQ316" s="14483"/>
      <c r="ER316" s="14483"/>
      <c r="ES316" s="14483"/>
      <c r="ET316" s="14483"/>
      <c r="EU316" s="14483"/>
      <c r="EV316" s="14483"/>
      <c r="EW316" s="14483"/>
      <c r="EX316" s="11284"/>
      <c r="EY316" s="11284"/>
      <c r="EZ316" s="10500"/>
      <c r="FA316" s="10501"/>
      <c r="FB316" s="10501" t="str">
        <f t="shared" si="5"/>
        <v>Добавить централизованную систему для дифференциации</v>
      </c>
      <c r="FC316" s="10501"/>
      <c r="FD316" s="10501"/>
    </row>
    <row r="317" spans="1:160" s="15682" customFormat="1" ht="23.25" customHeight="1">
      <c r="A317" s="10490"/>
      <c r="B317" s="10490" t="s">
        <v>378</v>
      </c>
      <c r="C317" s="10490"/>
      <c r="D317" s="10490"/>
      <c r="E317" s="16125"/>
      <c r="F317" s="16124" t="s">
        <v>91</v>
      </c>
      <c r="G317" s="10490"/>
      <c r="H317" s="10490"/>
      <c r="I317" s="10490"/>
      <c r="J317" s="10490"/>
      <c r="K317" s="10490"/>
      <c r="L317" s="10491"/>
      <c r="M317" s="10492"/>
      <c r="N317" s="10492"/>
      <c r="O317" s="10492"/>
      <c r="P317" s="10502"/>
      <c r="Q317" s="10503"/>
      <c r="R317" s="10504"/>
      <c r="S317" s="10496" t="str">
        <f>INDEX(PT_DIFFERENTIATION_NUM_TER,MATCH(B317,PT_DIFFERENTIATION_TER_ID,0))</f>
        <v>3.6</v>
      </c>
      <c r="T317" s="10505" t="s">
        <v>534</v>
      </c>
      <c r="U317" s="10498"/>
      <c r="V317" s="16110"/>
      <c r="W317" s="16111"/>
      <c r="X317" s="16111"/>
      <c r="Y317" s="16111"/>
      <c r="Z317" s="16111"/>
      <c r="AA317" s="16111"/>
      <c r="AB317" s="16111"/>
      <c r="AC317" s="16111"/>
      <c r="AD317" s="16111"/>
      <c r="AE317" s="16111"/>
      <c r="AF317" s="16112"/>
      <c r="AG317" s="16110" t="str">
        <f>INDEX(PT_DIFFERENTIATION_TER,MATCH(B317,PT_DIFFERENTIATION_TER_ID,0))</f>
        <v>Территория 6</v>
      </c>
      <c r="AH317" s="16111"/>
      <c r="AI317" s="16111"/>
      <c r="AJ317" s="16111"/>
      <c r="AK317" s="16111"/>
      <c r="AL317" s="16111"/>
      <c r="AM317" s="16111"/>
      <c r="AN317" s="16111"/>
      <c r="AO317" s="16111"/>
      <c r="AP317" s="16111"/>
      <c r="AQ317" s="16111"/>
      <c r="AR317" s="16110"/>
      <c r="AS317" s="16111"/>
      <c r="AT317" s="16111"/>
      <c r="AU317" s="16111"/>
      <c r="AV317" s="16111"/>
      <c r="AW317" s="16111"/>
      <c r="AX317" s="16111"/>
      <c r="AY317" s="16111"/>
      <c r="AZ317" s="16111"/>
      <c r="BA317" s="16111"/>
      <c r="BB317" s="16112"/>
      <c r="BC317" s="16110"/>
      <c r="BD317" s="16111"/>
      <c r="BE317" s="16111"/>
      <c r="BF317" s="16111"/>
      <c r="BG317" s="16111"/>
      <c r="BH317" s="16111"/>
      <c r="BI317" s="16111"/>
      <c r="BJ317" s="16111"/>
      <c r="BK317" s="16111"/>
      <c r="BL317" s="16111"/>
      <c r="BM317" s="16112"/>
      <c r="BN317" s="16110"/>
      <c r="BO317" s="16111"/>
      <c r="BP317" s="16111"/>
      <c r="BQ317" s="16111"/>
      <c r="BR317" s="16111"/>
      <c r="BS317" s="16111"/>
      <c r="BT317" s="16111"/>
      <c r="BU317" s="16111"/>
      <c r="BV317" s="16111"/>
      <c r="BW317" s="16111"/>
      <c r="BX317" s="16112"/>
      <c r="BY317" s="16110"/>
      <c r="BZ317" s="16111"/>
      <c r="CA317" s="16111"/>
      <c r="CB317" s="16111"/>
      <c r="CC317" s="16111"/>
      <c r="CD317" s="16111"/>
      <c r="CE317" s="16111"/>
      <c r="CF317" s="16111"/>
      <c r="CG317" s="16111"/>
      <c r="CH317" s="16111"/>
      <c r="CI317" s="16112"/>
      <c r="CJ317" s="16110"/>
      <c r="CK317" s="16111"/>
      <c r="CL317" s="16111"/>
      <c r="CM317" s="16111"/>
      <c r="CN317" s="16111"/>
      <c r="CO317" s="16111"/>
      <c r="CP317" s="16111"/>
      <c r="CQ317" s="16111"/>
      <c r="CR317" s="16111"/>
      <c r="CS317" s="16111"/>
      <c r="CT317" s="16112"/>
      <c r="CU317" s="16110"/>
      <c r="CV317" s="16111"/>
      <c r="CW317" s="16111"/>
      <c r="CX317" s="16111"/>
      <c r="CY317" s="16111"/>
      <c r="CZ317" s="16111"/>
      <c r="DA317" s="16111"/>
      <c r="DB317" s="16111"/>
      <c r="DC317" s="16111"/>
      <c r="DD317" s="16111"/>
      <c r="DE317" s="16112"/>
      <c r="DF317" s="16110"/>
      <c r="DG317" s="16111"/>
      <c r="DH317" s="16111"/>
      <c r="DI317" s="16111"/>
      <c r="DJ317" s="16111"/>
      <c r="DK317" s="16111"/>
      <c r="DL317" s="16111"/>
      <c r="DM317" s="16111"/>
      <c r="DN317" s="16111"/>
      <c r="DO317" s="16111"/>
      <c r="DP317" s="16112"/>
      <c r="DQ317" s="16110"/>
      <c r="DR317" s="16111"/>
      <c r="DS317" s="16111"/>
      <c r="DT317" s="16111"/>
      <c r="DU317" s="16111"/>
      <c r="DV317" s="16111"/>
      <c r="DW317" s="16111"/>
      <c r="DX317" s="16111"/>
      <c r="DY317" s="16111"/>
      <c r="DZ317" s="16111"/>
      <c r="EA317" s="16112"/>
      <c r="EB317" s="16110"/>
      <c r="EC317" s="16111"/>
      <c r="ED317" s="16111"/>
      <c r="EE317" s="16111"/>
      <c r="EF317" s="16111"/>
      <c r="EG317" s="16111"/>
      <c r="EH317" s="16111"/>
      <c r="EI317" s="16111"/>
      <c r="EJ317" s="16111"/>
      <c r="EK317" s="16111"/>
      <c r="EL317" s="16199"/>
      <c r="EM317" s="16110"/>
      <c r="EN317" s="16111"/>
      <c r="EO317" s="16111"/>
      <c r="EP317" s="16111"/>
      <c r="EQ317" s="16111"/>
      <c r="ER317" s="16111"/>
      <c r="ES317" s="16111"/>
      <c r="ET317" s="16111"/>
      <c r="EU317" s="16111"/>
      <c r="EV317" s="16111"/>
      <c r="EW317" s="16112"/>
      <c r="EX317" s="16112"/>
      <c r="EY317" s="10499" t="s">
        <v>535</v>
      </c>
      <c r="EZ317" s="10500"/>
      <c r="FA317" s="10501"/>
      <c r="FB317" s="10501" t="str">
        <f t="shared" si="5"/>
        <v>Территория действия тарифа</v>
      </c>
      <c r="FC317" s="10501"/>
      <c r="FD317" s="10501"/>
    </row>
    <row r="318" spans="1:160" s="15683" customFormat="1" ht="23.25" customHeight="1">
      <c r="A318" s="10490"/>
      <c r="B318" s="10490"/>
      <c r="C318" s="10490" t="s">
        <v>379</v>
      </c>
      <c r="D318" s="10490"/>
      <c r="E318" s="16125"/>
      <c r="F318" s="16125" t="s">
        <v>117</v>
      </c>
      <c r="G318" s="16124">
        <v>1</v>
      </c>
      <c r="H318" s="10490"/>
      <c r="I318" s="10490"/>
      <c r="J318" s="10490"/>
      <c r="K318" s="10490"/>
      <c r="L318" s="10491"/>
      <c r="M318" s="10492"/>
      <c r="N318" s="10492"/>
      <c r="O318" s="10492"/>
      <c r="P318" s="10506"/>
      <c r="Q318" s="10503"/>
      <c r="R318" s="10504"/>
      <c r="S318" s="10496" t="str">
        <f>INDEX(PT_DIFFERENTIATION_NUM_CS,MATCH(C318,PT_DIFFERENTIATION_CS_ID,0))</f>
        <v>3.6.1</v>
      </c>
      <c r="T318" s="10507" t="s">
        <v>665</v>
      </c>
      <c r="U318" s="10498"/>
      <c r="V318" s="16110"/>
      <c r="W318" s="16111"/>
      <c r="X318" s="16111"/>
      <c r="Y318" s="16111"/>
      <c r="Z318" s="16111"/>
      <c r="AA318" s="16111"/>
      <c r="AB318" s="16111"/>
      <c r="AC318" s="16111"/>
      <c r="AD318" s="16111"/>
      <c r="AE318" s="16111"/>
      <c r="AF318" s="16112"/>
      <c r="AG318" s="16110" t="str">
        <f>INDEX(PT_DIFFERENTIATION_CS,MATCH(C318,PT_DIFFERENTIATION_CS_ID,0))</f>
        <v>н.п. Высокий</v>
      </c>
      <c r="AH318" s="16111"/>
      <c r="AI318" s="16111"/>
      <c r="AJ318" s="16111"/>
      <c r="AK318" s="16111"/>
      <c r="AL318" s="16111"/>
      <c r="AM318" s="16111"/>
      <c r="AN318" s="16111"/>
      <c r="AO318" s="16111"/>
      <c r="AP318" s="16111"/>
      <c r="AQ318" s="16111"/>
      <c r="AR318" s="16110"/>
      <c r="AS318" s="16111"/>
      <c r="AT318" s="16111"/>
      <c r="AU318" s="16111"/>
      <c r="AV318" s="16111"/>
      <c r="AW318" s="16111"/>
      <c r="AX318" s="16111"/>
      <c r="AY318" s="16111"/>
      <c r="AZ318" s="16111"/>
      <c r="BA318" s="16111"/>
      <c r="BB318" s="16112"/>
      <c r="BC318" s="16110"/>
      <c r="BD318" s="16111"/>
      <c r="BE318" s="16111"/>
      <c r="BF318" s="16111"/>
      <c r="BG318" s="16111"/>
      <c r="BH318" s="16111"/>
      <c r="BI318" s="16111"/>
      <c r="BJ318" s="16111"/>
      <c r="BK318" s="16111"/>
      <c r="BL318" s="16111"/>
      <c r="BM318" s="16112"/>
      <c r="BN318" s="16110"/>
      <c r="BO318" s="16111"/>
      <c r="BP318" s="16111"/>
      <c r="BQ318" s="16111"/>
      <c r="BR318" s="16111"/>
      <c r="BS318" s="16111"/>
      <c r="BT318" s="16111"/>
      <c r="BU318" s="16111"/>
      <c r="BV318" s="16111"/>
      <c r="BW318" s="16111"/>
      <c r="BX318" s="16112"/>
      <c r="BY318" s="16110"/>
      <c r="BZ318" s="16111"/>
      <c r="CA318" s="16111"/>
      <c r="CB318" s="16111"/>
      <c r="CC318" s="16111"/>
      <c r="CD318" s="16111"/>
      <c r="CE318" s="16111"/>
      <c r="CF318" s="16111"/>
      <c r="CG318" s="16111"/>
      <c r="CH318" s="16111"/>
      <c r="CI318" s="16112"/>
      <c r="CJ318" s="16110"/>
      <c r="CK318" s="16111"/>
      <c r="CL318" s="16111"/>
      <c r="CM318" s="16111"/>
      <c r="CN318" s="16111"/>
      <c r="CO318" s="16111"/>
      <c r="CP318" s="16111"/>
      <c r="CQ318" s="16111"/>
      <c r="CR318" s="16111"/>
      <c r="CS318" s="16111"/>
      <c r="CT318" s="16112"/>
      <c r="CU318" s="16110"/>
      <c r="CV318" s="16111"/>
      <c r="CW318" s="16111"/>
      <c r="CX318" s="16111"/>
      <c r="CY318" s="16111"/>
      <c r="CZ318" s="16111"/>
      <c r="DA318" s="16111"/>
      <c r="DB318" s="16111"/>
      <c r="DC318" s="16111"/>
      <c r="DD318" s="16111"/>
      <c r="DE318" s="16112"/>
      <c r="DF318" s="16110"/>
      <c r="DG318" s="16111"/>
      <c r="DH318" s="16111"/>
      <c r="DI318" s="16111"/>
      <c r="DJ318" s="16111"/>
      <c r="DK318" s="16111"/>
      <c r="DL318" s="16111"/>
      <c r="DM318" s="16111"/>
      <c r="DN318" s="16111"/>
      <c r="DO318" s="16111"/>
      <c r="DP318" s="16112"/>
      <c r="DQ318" s="16110"/>
      <c r="DR318" s="16111"/>
      <c r="DS318" s="16111"/>
      <c r="DT318" s="16111"/>
      <c r="DU318" s="16111"/>
      <c r="DV318" s="16111"/>
      <c r="DW318" s="16111"/>
      <c r="DX318" s="16111"/>
      <c r="DY318" s="16111"/>
      <c r="DZ318" s="16111"/>
      <c r="EA318" s="16112"/>
      <c r="EB318" s="16110"/>
      <c r="EC318" s="16111"/>
      <c r="ED318" s="16111"/>
      <c r="EE318" s="16111"/>
      <c r="EF318" s="16111"/>
      <c r="EG318" s="16111"/>
      <c r="EH318" s="16111"/>
      <c r="EI318" s="16111"/>
      <c r="EJ318" s="16111"/>
      <c r="EK318" s="16111"/>
      <c r="EL318" s="16199"/>
      <c r="EM318" s="16110"/>
      <c r="EN318" s="16111"/>
      <c r="EO318" s="16111"/>
      <c r="EP318" s="16111"/>
      <c r="EQ318" s="16111"/>
      <c r="ER318" s="16111"/>
      <c r="ES318" s="16111"/>
      <c r="ET318" s="16111"/>
      <c r="EU318" s="16111"/>
      <c r="EV318" s="16111"/>
      <c r="EW318" s="16112"/>
      <c r="EX318" s="16112"/>
      <c r="EY318" s="10499" t="s">
        <v>666</v>
      </c>
      <c r="EZ318" s="10500"/>
      <c r="FA318" s="10501"/>
      <c r="FB318" s="10501" t="str">
        <f t="shared" si="5"/>
        <v>Наименование централизованной системы горячего водоснабжения</v>
      </c>
      <c r="FC318" s="10501"/>
      <c r="FD318" s="10501"/>
    </row>
    <row r="319" spans="1:160" s="15684" customFormat="1" ht="23.25" customHeight="1">
      <c r="A319" s="10490"/>
      <c r="B319" s="10490"/>
      <c r="C319" s="10490"/>
      <c r="D319" s="10490"/>
      <c r="E319" s="16125"/>
      <c r="F319" s="16125" t="s">
        <v>117</v>
      </c>
      <c r="G319" s="16125"/>
      <c r="H319" s="16125"/>
      <c r="I319" s="16122" t="str">
        <f>S318&amp;".1"</f>
        <v>3.6.1.1</v>
      </c>
      <c r="J319" s="10490"/>
      <c r="K319" s="10490"/>
      <c r="L319" s="10491"/>
      <c r="M319" s="10508"/>
      <c r="N319" s="10508"/>
      <c r="O319" s="10508"/>
      <c r="P319" s="16123">
        <v>1</v>
      </c>
      <c r="Q319" s="10509"/>
      <c r="R319" s="10510"/>
      <c r="S319" s="10496" t="str">
        <f>$I319</f>
        <v>3.6.1.1</v>
      </c>
      <c r="T319" s="10511" t="s">
        <v>618</v>
      </c>
      <c r="U319" s="10498"/>
      <c r="V319" s="16183"/>
      <c r="W319" s="16184"/>
      <c r="X319" s="16184"/>
      <c r="Y319" s="16184"/>
      <c r="Z319" s="16184"/>
      <c r="AA319" s="16184"/>
      <c r="AB319" s="16184"/>
      <c r="AC319" s="16184"/>
      <c r="AD319" s="16184"/>
      <c r="AE319" s="16184"/>
      <c r="AF319" s="16185"/>
      <c r="AG319" s="16186"/>
      <c r="AH319" s="16187"/>
      <c r="AI319" s="16187"/>
      <c r="AJ319" s="16187"/>
      <c r="AK319" s="16187"/>
      <c r="AL319" s="16187"/>
      <c r="AM319" s="16187"/>
      <c r="AN319" s="16187"/>
      <c r="AO319" s="16187"/>
      <c r="AP319" s="16187"/>
      <c r="AQ319" s="16187"/>
      <c r="AR319" s="16183"/>
      <c r="AS319" s="16184"/>
      <c r="AT319" s="16184"/>
      <c r="AU319" s="16184"/>
      <c r="AV319" s="16184"/>
      <c r="AW319" s="16184"/>
      <c r="AX319" s="16184"/>
      <c r="AY319" s="16184"/>
      <c r="AZ319" s="16184"/>
      <c r="BA319" s="16184"/>
      <c r="BB319" s="16185"/>
      <c r="BC319" s="16183"/>
      <c r="BD319" s="16184"/>
      <c r="BE319" s="16184"/>
      <c r="BF319" s="16184"/>
      <c r="BG319" s="16184"/>
      <c r="BH319" s="16184"/>
      <c r="BI319" s="16184"/>
      <c r="BJ319" s="16184"/>
      <c r="BK319" s="16184"/>
      <c r="BL319" s="16184"/>
      <c r="BM319" s="16185"/>
      <c r="BN319" s="16183"/>
      <c r="BO319" s="16184"/>
      <c r="BP319" s="16184"/>
      <c r="BQ319" s="16184"/>
      <c r="BR319" s="16184"/>
      <c r="BS319" s="16184"/>
      <c r="BT319" s="16184"/>
      <c r="BU319" s="16184"/>
      <c r="BV319" s="16184"/>
      <c r="BW319" s="16184"/>
      <c r="BX319" s="16185"/>
      <c r="BY319" s="16183"/>
      <c r="BZ319" s="16184"/>
      <c r="CA319" s="16184"/>
      <c r="CB319" s="16184"/>
      <c r="CC319" s="16184"/>
      <c r="CD319" s="16184"/>
      <c r="CE319" s="16184"/>
      <c r="CF319" s="16184"/>
      <c r="CG319" s="16184"/>
      <c r="CH319" s="16184"/>
      <c r="CI319" s="16185"/>
      <c r="CJ319" s="16183"/>
      <c r="CK319" s="16184"/>
      <c r="CL319" s="16184"/>
      <c r="CM319" s="16184"/>
      <c r="CN319" s="16184"/>
      <c r="CO319" s="16184"/>
      <c r="CP319" s="16184"/>
      <c r="CQ319" s="16184"/>
      <c r="CR319" s="16184"/>
      <c r="CS319" s="16184"/>
      <c r="CT319" s="16185"/>
      <c r="CU319" s="16183"/>
      <c r="CV319" s="16184"/>
      <c r="CW319" s="16184"/>
      <c r="CX319" s="16184"/>
      <c r="CY319" s="16184"/>
      <c r="CZ319" s="16184"/>
      <c r="DA319" s="16184"/>
      <c r="DB319" s="16184"/>
      <c r="DC319" s="16184"/>
      <c r="DD319" s="16184"/>
      <c r="DE319" s="16185"/>
      <c r="DF319" s="16183"/>
      <c r="DG319" s="16184"/>
      <c r="DH319" s="16184"/>
      <c r="DI319" s="16184"/>
      <c r="DJ319" s="16184"/>
      <c r="DK319" s="16184"/>
      <c r="DL319" s="16184"/>
      <c r="DM319" s="16184"/>
      <c r="DN319" s="16184"/>
      <c r="DO319" s="16184"/>
      <c r="DP319" s="16185"/>
      <c r="DQ319" s="16183"/>
      <c r="DR319" s="16184"/>
      <c r="DS319" s="16184"/>
      <c r="DT319" s="16184"/>
      <c r="DU319" s="16184"/>
      <c r="DV319" s="16184"/>
      <c r="DW319" s="16184"/>
      <c r="DX319" s="16184"/>
      <c r="DY319" s="16184"/>
      <c r="DZ319" s="16184"/>
      <c r="EA319" s="16185"/>
      <c r="EB319" s="16183"/>
      <c r="EC319" s="16184"/>
      <c r="ED319" s="16184"/>
      <c r="EE319" s="16184"/>
      <c r="EF319" s="16184"/>
      <c r="EG319" s="16184"/>
      <c r="EH319" s="16184"/>
      <c r="EI319" s="16184"/>
      <c r="EJ319" s="16184"/>
      <c r="EK319" s="16184"/>
      <c r="EL319" s="16200"/>
      <c r="EM319" s="16183"/>
      <c r="EN319" s="16184"/>
      <c r="EO319" s="16184"/>
      <c r="EP319" s="16184"/>
      <c r="EQ319" s="16184"/>
      <c r="ER319" s="16184"/>
      <c r="ES319" s="16184"/>
      <c r="ET319" s="16184"/>
      <c r="EU319" s="16184"/>
      <c r="EV319" s="16184"/>
      <c r="EW319" s="16185"/>
      <c r="EX319" s="16188"/>
      <c r="EY319" s="10499" t="s">
        <v>619</v>
      </c>
      <c r="EZ319" s="10500"/>
      <c r="FA319" s="10501"/>
      <c r="FB319" s="10501" t="str">
        <f t="shared" si="5"/>
        <v>Наименование признака дифференциации</v>
      </c>
      <c r="FC319" s="10501"/>
      <c r="FD319" s="10501"/>
    </row>
    <row r="320" spans="1:160" s="15685" customFormat="1" ht="23.25" customHeight="1">
      <c r="A320" s="10490"/>
      <c r="B320" s="10490"/>
      <c r="C320" s="10490"/>
      <c r="D320" s="10490"/>
      <c r="E320" s="16125"/>
      <c r="F320" s="16125" t="s">
        <v>117</v>
      </c>
      <c r="G320" s="16125"/>
      <c r="H320" s="16125"/>
      <c r="I320" s="16145"/>
      <c r="J320" s="16122" t="str">
        <f>I319&amp;".1"</f>
        <v>3.6.1.1.1</v>
      </c>
      <c r="K320" s="10490"/>
      <c r="L320" s="10491" t="s">
        <v>543</v>
      </c>
      <c r="M320" s="10508"/>
      <c r="N320" s="10508"/>
      <c r="O320" s="10508"/>
      <c r="P320" s="16123"/>
      <c r="Q320" s="16123">
        <v>1</v>
      </c>
      <c r="R320" s="10512"/>
      <c r="S320" s="10496" t="str">
        <f>$J320</f>
        <v>3.6.1.1.1</v>
      </c>
      <c r="T320" s="10513" t="s">
        <v>544</v>
      </c>
      <c r="U320" s="10498"/>
      <c r="V320" s="16113"/>
      <c r="W320" s="16114"/>
      <c r="X320" s="16114"/>
      <c r="Y320" s="16114"/>
      <c r="Z320" s="16114"/>
      <c r="AA320" s="16114"/>
      <c r="AB320" s="16114"/>
      <c r="AC320" s="16114"/>
      <c r="AD320" s="16114"/>
      <c r="AE320" s="16114"/>
      <c r="AF320" s="16115"/>
      <c r="AG320" s="16113" t="s">
        <v>679</v>
      </c>
      <c r="AH320" s="16114"/>
      <c r="AI320" s="16114"/>
      <c r="AJ320" s="16114"/>
      <c r="AK320" s="16114"/>
      <c r="AL320" s="16114"/>
      <c r="AM320" s="16114"/>
      <c r="AN320" s="16114"/>
      <c r="AO320" s="16114"/>
      <c r="AP320" s="16114"/>
      <c r="AQ320" s="16114"/>
      <c r="AR320" s="16113"/>
      <c r="AS320" s="16114"/>
      <c r="AT320" s="16114"/>
      <c r="AU320" s="16114"/>
      <c r="AV320" s="16114"/>
      <c r="AW320" s="16114"/>
      <c r="AX320" s="16114"/>
      <c r="AY320" s="16114"/>
      <c r="AZ320" s="16114"/>
      <c r="BA320" s="16114"/>
      <c r="BB320" s="16115"/>
      <c r="BC320" s="16113"/>
      <c r="BD320" s="16114"/>
      <c r="BE320" s="16114"/>
      <c r="BF320" s="16114"/>
      <c r="BG320" s="16114"/>
      <c r="BH320" s="16114"/>
      <c r="BI320" s="16114"/>
      <c r="BJ320" s="16114"/>
      <c r="BK320" s="16114"/>
      <c r="BL320" s="16114"/>
      <c r="BM320" s="16115"/>
      <c r="BN320" s="16113"/>
      <c r="BO320" s="16114"/>
      <c r="BP320" s="16114"/>
      <c r="BQ320" s="16114"/>
      <c r="BR320" s="16114"/>
      <c r="BS320" s="16114"/>
      <c r="BT320" s="16114"/>
      <c r="BU320" s="16114"/>
      <c r="BV320" s="16114"/>
      <c r="BW320" s="16114"/>
      <c r="BX320" s="16115"/>
      <c r="BY320" s="16113"/>
      <c r="BZ320" s="16114"/>
      <c r="CA320" s="16114"/>
      <c r="CB320" s="16114"/>
      <c r="CC320" s="16114"/>
      <c r="CD320" s="16114"/>
      <c r="CE320" s="16114"/>
      <c r="CF320" s="16114"/>
      <c r="CG320" s="16114"/>
      <c r="CH320" s="16114"/>
      <c r="CI320" s="16115"/>
      <c r="CJ320" s="16113"/>
      <c r="CK320" s="16114"/>
      <c r="CL320" s="16114"/>
      <c r="CM320" s="16114"/>
      <c r="CN320" s="16114"/>
      <c r="CO320" s="16114"/>
      <c r="CP320" s="16114"/>
      <c r="CQ320" s="16114"/>
      <c r="CR320" s="16114"/>
      <c r="CS320" s="16114"/>
      <c r="CT320" s="16115"/>
      <c r="CU320" s="16113"/>
      <c r="CV320" s="16114"/>
      <c r="CW320" s="16114"/>
      <c r="CX320" s="16114"/>
      <c r="CY320" s="16114"/>
      <c r="CZ320" s="16114"/>
      <c r="DA320" s="16114"/>
      <c r="DB320" s="16114"/>
      <c r="DC320" s="16114"/>
      <c r="DD320" s="16114"/>
      <c r="DE320" s="16115"/>
      <c r="DF320" s="16113"/>
      <c r="DG320" s="16114"/>
      <c r="DH320" s="16114"/>
      <c r="DI320" s="16114"/>
      <c r="DJ320" s="16114"/>
      <c r="DK320" s="16114"/>
      <c r="DL320" s="16114"/>
      <c r="DM320" s="16114"/>
      <c r="DN320" s="16114"/>
      <c r="DO320" s="16114"/>
      <c r="DP320" s="16115"/>
      <c r="DQ320" s="16113"/>
      <c r="DR320" s="16114"/>
      <c r="DS320" s="16114"/>
      <c r="DT320" s="16114"/>
      <c r="DU320" s="16114"/>
      <c r="DV320" s="16114"/>
      <c r="DW320" s="16114"/>
      <c r="DX320" s="16114"/>
      <c r="DY320" s="16114"/>
      <c r="DZ320" s="16114"/>
      <c r="EA320" s="16115"/>
      <c r="EB320" s="16113"/>
      <c r="EC320" s="16114"/>
      <c r="ED320" s="16114"/>
      <c r="EE320" s="16114"/>
      <c r="EF320" s="16114"/>
      <c r="EG320" s="16114"/>
      <c r="EH320" s="16114"/>
      <c r="EI320" s="16114"/>
      <c r="EJ320" s="16114"/>
      <c r="EK320" s="16114"/>
      <c r="EL320" s="16201"/>
      <c r="EM320" s="16113"/>
      <c r="EN320" s="16114"/>
      <c r="EO320" s="16114"/>
      <c r="EP320" s="16114"/>
      <c r="EQ320" s="16114"/>
      <c r="ER320" s="16114"/>
      <c r="ES320" s="16114"/>
      <c r="ET320" s="16114"/>
      <c r="EU320" s="16114"/>
      <c r="EV320" s="16114"/>
      <c r="EW320" s="16115"/>
      <c r="EX320" s="16115"/>
      <c r="EY320" s="10514" t="s">
        <v>620</v>
      </c>
      <c r="EZ320" s="10500"/>
      <c r="FA320" s="10501"/>
      <c r="FB320" s="10501" t="str">
        <f t="shared" si="5"/>
        <v>Группа потребителей</v>
      </c>
      <c r="FC320" s="10501"/>
      <c r="FD320" s="10501"/>
    </row>
    <row r="321" spans="1:160" s="15686" customFormat="1" ht="23.25" customHeight="1">
      <c r="A321" s="10490"/>
      <c r="B321" s="10490"/>
      <c r="C321" s="10490"/>
      <c r="D321" s="10490"/>
      <c r="E321" s="16125"/>
      <c r="F321" s="16125" t="s">
        <v>117</v>
      </c>
      <c r="G321" s="16125"/>
      <c r="H321" s="16125"/>
      <c r="I321" s="16145"/>
      <c r="J321" s="16145"/>
      <c r="K321" s="16122" t="str">
        <f>J320&amp;".1"</f>
        <v>3.6.1.1.1.1</v>
      </c>
      <c r="L321" s="10491"/>
      <c r="M321" s="10508"/>
      <c r="N321" s="10508"/>
      <c r="O321" s="10508"/>
      <c r="P321" s="16123"/>
      <c r="Q321" s="16123"/>
      <c r="R321" s="10512">
        <v>1</v>
      </c>
      <c r="S321" s="10496" t="str">
        <f>$K321</f>
        <v>3.6.1.1.1.1</v>
      </c>
      <c r="T321" s="10515"/>
      <c r="U321" s="10498"/>
      <c r="V321" s="10516"/>
      <c r="W321" s="10516"/>
      <c r="X321" s="10516"/>
      <c r="Y321" s="10516"/>
      <c r="Z321" s="10516"/>
      <c r="AA321" s="10516"/>
      <c r="AB321" s="10516"/>
      <c r="AC321" s="16127"/>
      <c r="AD321" s="15973" t="s">
        <v>66</v>
      </c>
      <c r="AE321" s="16127"/>
      <c r="AF321" s="15973" t="s">
        <v>66</v>
      </c>
      <c r="AG321" s="10516">
        <v>36.950000000000003</v>
      </c>
      <c r="AH321" s="10516"/>
      <c r="AI321" s="10516"/>
      <c r="AJ321" s="10516"/>
      <c r="AK321" s="10516">
        <v>5211.17</v>
      </c>
      <c r="AL321" s="10516"/>
      <c r="AM321" s="10516"/>
      <c r="AN321" s="16127">
        <v>45292</v>
      </c>
      <c r="AO321" s="15973" t="s">
        <v>66</v>
      </c>
      <c r="AP321" s="16146">
        <v>45378</v>
      </c>
      <c r="AQ321" s="15973" t="s">
        <v>66</v>
      </c>
      <c r="AR321" s="10516">
        <v>36.950000000000003</v>
      </c>
      <c r="AS321" s="10516"/>
      <c r="AT321" s="10516"/>
      <c r="AU321" s="10516"/>
      <c r="AV321" s="10516">
        <v>5211.17</v>
      </c>
      <c r="AW321" s="10516"/>
      <c r="AX321" s="10516"/>
      <c r="AY321" s="16127">
        <v>45379</v>
      </c>
      <c r="AZ321" s="15973" t="s">
        <v>66</v>
      </c>
      <c r="BA321" s="16127">
        <v>45473</v>
      </c>
      <c r="BB321" s="15973" t="s">
        <v>66</v>
      </c>
      <c r="BC321" s="10516">
        <v>36.950000000000003</v>
      </c>
      <c r="BD321" s="10516"/>
      <c r="BE321" s="10516"/>
      <c r="BF321" s="10516"/>
      <c r="BG321" s="10516">
        <v>5493.65</v>
      </c>
      <c r="BH321" s="10516"/>
      <c r="BI321" s="10516"/>
      <c r="BJ321" s="16127">
        <v>45474</v>
      </c>
      <c r="BK321" s="15973" t="s">
        <v>66</v>
      </c>
      <c r="BL321" s="16127">
        <v>45657</v>
      </c>
      <c r="BM321" s="15973" t="s">
        <v>66</v>
      </c>
      <c r="BN321" s="10516">
        <v>36.950000000000003</v>
      </c>
      <c r="BO321" s="10516"/>
      <c r="BP321" s="10516"/>
      <c r="BQ321" s="10516"/>
      <c r="BR321" s="10516">
        <v>5407.73</v>
      </c>
      <c r="BS321" s="10516"/>
      <c r="BT321" s="10516"/>
      <c r="BU321" s="16127">
        <v>45658</v>
      </c>
      <c r="BV321" s="15973" t="s">
        <v>66</v>
      </c>
      <c r="BW321" s="16127">
        <v>45838</v>
      </c>
      <c r="BX321" s="15973" t="s">
        <v>66</v>
      </c>
      <c r="BY321" s="10516">
        <v>38.5</v>
      </c>
      <c r="BZ321" s="10516"/>
      <c r="CA321" s="10516"/>
      <c r="CB321" s="10516"/>
      <c r="CC321" s="10516">
        <v>5407.73</v>
      </c>
      <c r="CD321" s="10516"/>
      <c r="CE321" s="10516"/>
      <c r="CF321" s="16127">
        <v>45839</v>
      </c>
      <c r="CG321" s="15973" t="s">
        <v>66</v>
      </c>
      <c r="CH321" s="16127">
        <v>46022</v>
      </c>
      <c r="CI321" s="15973" t="s">
        <v>66</v>
      </c>
      <c r="CJ321" s="10516">
        <v>38.5</v>
      </c>
      <c r="CK321" s="10516"/>
      <c r="CL321" s="10516"/>
      <c r="CM321" s="10516"/>
      <c r="CN321" s="10516">
        <v>5407.73</v>
      </c>
      <c r="CO321" s="10516"/>
      <c r="CP321" s="10516"/>
      <c r="CQ321" s="16127">
        <v>46023</v>
      </c>
      <c r="CR321" s="15973" t="s">
        <v>66</v>
      </c>
      <c r="CS321" s="16127">
        <v>46203</v>
      </c>
      <c r="CT321" s="15973" t="s">
        <v>66</v>
      </c>
      <c r="CU321" s="10516">
        <v>40.04</v>
      </c>
      <c r="CV321" s="10516"/>
      <c r="CW321" s="10516"/>
      <c r="CX321" s="10516"/>
      <c r="CY321" s="10516">
        <v>5624.04</v>
      </c>
      <c r="CZ321" s="10516"/>
      <c r="DA321" s="10516"/>
      <c r="DB321" s="16127">
        <v>46204</v>
      </c>
      <c r="DC321" s="15973" t="s">
        <v>66</v>
      </c>
      <c r="DD321" s="16127">
        <v>46387</v>
      </c>
      <c r="DE321" s="15973" t="s">
        <v>66</v>
      </c>
      <c r="DF321" s="10516">
        <v>40.04</v>
      </c>
      <c r="DG321" s="10516"/>
      <c r="DH321" s="10516"/>
      <c r="DI321" s="10516"/>
      <c r="DJ321" s="10516">
        <v>5624.04</v>
      </c>
      <c r="DK321" s="10516"/>
      <c r="DL321" s="10516"/>
      <c r="DM321" s="16127">
        <v>46388</v>
      </c>
      <c r="DN321" s="15973" t="s">
        <v>66</v>
      </c>
      <c r="DO321" s="16127">
        <v>46568</v>
      </c>
      <c r="DP321" s="15973" t="s">
        <v>66</v>
      </c>
      <c r="DQ321" s="10516">
        <v>41.64</v>
      </c>
      <c r="DR321" s="10516"/>
      <c r="DS321" s="10516"/>
      <c r="DT321" s="10516"/>
      <c r="DU321" s="10516">
        <v>5730.97</v>
      </c>
      <c r="DV321" s="10516"/>
      <c r="DW321" s="10516"/>
      <c r="DX321" s="16127">
        <v>46569</v>
      </c>
      <c r="DY321" s="15973" t="s">
        <v>66</v>
      </c>
      <c r="DZ321" s="16127">
        <v>46752</v>
      </c>
      <c r="EA321" s="15973" t="s">
        <v>66</v>
      </c>
      <c r="EB321" s="10516">
        <v>41.64</v>
      </c>
      <c r="EC321" s="10516"/>
      <c r="ED321" s="10516"/>
      <c r="EE321" s="10516"/>
      <c r="EF321" s="10516">
        <v>5730.97</v>
      </c>
      <c r="EG321" s="10516"/>
      <c r="EH321" s="10516"/>
      <c r="EI321" s="16127">
        <v>46753</v>
      </c>
      <c r="EJ321" s="15973" t="s">
        <v>66</v>
      </c>
      <c r="EK321" s="16127">
        <v>46934</v>
      </c>
      <c r="EL321" s="16202" t="s">
        <v>66</v>
      </c>
      <c r="EM321" s="14448">
        <v>43.31</v>
      </c>
      <c r="EN321" s="14448"/>
      <c r="EO321" s="14448"/>
      <c r="EP321" s="14448"/>
      <c r="EQ321" s="14448">
        <v>5926.14</v>
      </c>
      <c r="ER321" s="14448"/>
      <c r="ES321" s="14448"/>
      <c r="ET321" s="16127">
        <v>46935</v>
      </c>
      <c r="EU321" s="15973" t="s">
        <v>66</v>
      </c>
      <c r="EV321" s="16127">
        <v>47118</v>
      </c>
      <c r="EW321" s="15973" t="s">
        <v>66</v>
      </c>
      <c r="EX321" s="10517"/>
      <c r="EY32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321" s="10500" t="e">
        <f ca="1">STRCHECKDATE(V322:EX322)</f>
        <v>#NAME?</v>
      </c>
      <c r="FA321" s="10501"/>
      <c r="FB321" s="10501" t="str">
        <f t="shared" si="5"/>
        <v/>
      </c>
      <c r="FC321" s="10501"/>
      <c r="FD321" s="10501"/>
    </row>
    <row r="322" spans="1:160" s="15687" customFormat="1" ht="14.25" customHeight="1">
      <c r="A322" s="10490"/>
      <c r="B322" s="10490"/>
      <c r="C322" s="10490"/>
      <c r="D322" s="10490"/>
      <c r="E322" s="16125"/>
      <c r="F322" s="16125" t="s">
        <v>117</v>
      </c>
      <c r="G322" s="16125"/>
      <c r="H322" s="16125"/>
      <c r="I322" s="16145"/>
      <c r="J322" s="16145"/>
      <c r="K322" s="16122"/>
      <c r="L322" s="10491"/>
      <c r="M322" s="10508"/>
      <c r="N322" s="10508"/>
      <c r="O322" s="10508"/>
      <c r="P322" s="16123"/>
      <c r="Q322" s="16123"/>
      <c r="R322" s="10512"/>
      <c r="S322" s="10518"/>
      <c r="T322" s="10498"/>
      <c r="U322" s="10498"/>
      <c r="V322" s="10519"/>
      <c r="W322" s="10519"/>
      <c r="X322" s="10519"/>
      <c r="Y322" s="10519"/>
      <c r="Z322" s="10519"/>
      <c r="AA322" s="10519"/>
      <c r="AB322" s="10519"/>
      <c r="AC322" s="16128"/>
      <c r="AD322" s="15973"/>
      <c r="AE322" s="16128"/>
      <c r="AF322" s="15973"/>
      <c r="AG322" s="10519"/>
      <c r="AH322" s="10519"/>
      <c r="AI322" s="10519"/>
      <c r="AJ322" s="10519"/>
      <c r="AK322" s="10519"/>
      <c r="AL322" s="10519"/>
      <c r="AM322" s="10519"/>
      <c r="AN322" s="16128"/>
      <c r="AO322" s="15973"/>
      <c r="AP322" s="16147"/>
      <c r="AQ322" s="15973"/>
      <c r="AR322" s="10519"/>
      <c r="AS322" s="10519"/>
      <c r="AT322" s="10519"/>
      <c r="AU322" s="10519"/>
      <c r="AV322" s="10519"/>
      <c r="AW322" s="10519"/>
      <c r="AX322" s="10519"/>
      <c r="AY322" s="16128"/>
      <c r="AZ322" s="15973"/>
      <c r="BA322" s="16128"/>
      <c r="BB322" s="15973"/>
      <c r="BC322" s="10519"/>
      <c r="BD322" s="10519"/>
      <c r="BE322" s="10519"/>
      <c r="BF322" s="10519"/>
      <c r="BG322" s="10519"/>
      <c r="BH322" s="10519"/>
      <c r="BI322" s="10519"/>
      <c r="BJ322" s="16128"/>
      <c r="BK322" s="15973"/>
      <c r="BL322" s="16128"/>
      <c r="BM322" s="15973"/>
      <c r="BN322" s="10519"/>
      <c r="BO322" s="10519"/>
      <c r="BP322" s="10519"/>
      <c r="BQ322" s="10519"/>
      <c r="BR322" s="10519"/>
      <c r="BS322" s="10519"/>
      <c r="BT322" s="10519"/>
      <c r="BU322" s="16128"/>
      <c r="BV322" s="15973"/>
      <c r="BW322" s="16128"/>
      <c r="BX322" s="15973"/>
      <c r="BY322" s="10519"/>
      <c r="BZ322" s="10519"/>
      <c r="CA322" s="10519"/>
      <c r="CB322" s="10519"/>
      <c r="CC322" s="10519"/>
      <c r="CD322" s="10519"/>
      <c r="CE322" s="10519"/>
      <c r="CF322" s="16128"/>
      <c r="CG322" s="15973"/>
      <c r="CH322" s="16128"/>
      <c r="CI322" s="15973"/>
      <c r="CJ322" s="10519"/>
      <c r="CK322" s="10519"/>
      <c r="CL322" s="10519"/>
      <c r="CM322" s="10519"/>
      <c r="CN322" s="10519"/>
      <c r="CO322" s="10519"/>
      <c r="CP322" s="10519"/>
      <c r="CQ322" s="16128"/>
      <c r="CR322" s="15973"/>
      <c r="CS322" s="16128"/>
      <c r="CT322" s="15973"/>
      <c r="CU322" s="10519"/>
      <c r="CV322" s="10519"/>
      <c r="CW322" s="10519"/>
      <c r="CX322" s="10519"/>
      <c r="CY322" s="10519"/>
      <c r="CZ322" s="10519"/>
      <c r="DA322" s="10519"/>
      <c r="DB322" s="16128"/>
      <c r="DC322" s="15973"/>
      <c r="DD322" s="16128"/>
      <c r="DE322" s="15973"/>
      <c r="DF322" s="10519"/>
      <c r="DG322" s="10519"/>
      <c r="DH322" s="10519"/>
      <c r="DI322" s="10519"/>
      <c r="DJ322" s="10519"/>
      <c r="DK322" s="10519"/>
      <c r="DL322" s="10519"/>
      <c r="DM322" s="16128"/>
      <c r="DN322" s="15973"/>
      <c r="DO322" s="16128"/>
      <c r="DP322" s="15973"/>
      <c r="DQ322" s="10519"/>
      <c r="DR322" s="10519"/>
      <c r="DS322" s="10519"/>
      <c r="DT322" s="10519"/>
      <c r="DU322" s="10519"/>
      <c r="DV322" s="10519"/>
      <c r="DW322" s="10519"/>
      <c r="DX322" s="16128"/>
      <c r="DY322" s="15973"/>
      <c r="DZ322" s="16128"/>
      <c r="EA322" s="15973"/>
      <c r="EB322" s="10519"/>
      <c r="EC322" s="10519"/>
      <c r="ED322" s="10519"/>
      <c r="EE322" s="10519"/>
      <c r="EF322" s="10519"/>
      <c r="EG322" s="10519"/>
      <c r="EH322" s="10519"/>
      <c r="EI322" s="16128"/>
      <c r="EJ322" s="15973"/>
      <c r="EK322" s="16128"/>
      <c r="EL322" s="16202"/>
      <c r="EM322" s="14449"/>
      <c r="EN322" s="14449"/>
      <c r="EO322" s="14449"/>
      <c r="EP322" s="14449"/>
      <c r="EQ322" s="14449"/>
      <c r="ER322" s="14449"/>
      <c r="ES322" s="14449"/>
      <c r="ET322" s="16128"/>
      <c r="EU322" s="15973"/>
      <c r="EV322" s="16128"/>
      <c r="EW322" s="15973"/>
      <c r="EX322" s="10520"/>
      <c r="EY322" s="16182"/>
      <c r="EZ322" s="10500"/>
      <c r="FA322" s="10501"/>
      <c r="FB322" s="10501" t="str">
        <f t="shared" si="5"/>
        <v/>
      </c>
      <c r="FC322" s="10501"/>
      <c r="FD322" s="10501"/>
    </row>
    <row r="323" spans="1:160" s="15688" customFormat="1" ht="21" customHeight="1">
      <c r="A323" s="10490"/>
      <c r="B323" s="10490"/>
      <c r="C323" s="10490"/>
      <c r="D323" s="10490"/>
      <c r="E323" s="16125"/>
      <c r="F323" s="16125" t="s">
        <v>117</v>
      </c>
      <c r="G323" s="16125"/>
      <c r="H323" s="16125"/>
      <c r="I323" s="16145"/>
      <c r="J323" s="16122"/>
      <c r="K323" s="10490"/>
      <c r="L323" s="10491"/>
      <c r="M323" s="10508"/>
      <c r="N323" s="10508"/>
      <c r="O323" s="10508"/>
      <c r="P323" s="16123"/>
      <c r="Q323" s="16123"/>
      <c r="R323" s="10510"/>
      <c r="S323" s="12794"/>
      <c r="T323" s="12795" t="s">
        <v>621</v>
      </c>
      <c r="U323" s="12796"/>
      <c r="V323" s="12797"/>
      <c r="W323" s="12798"/>
      <c r="X323" s="12799"/>
      <c r="Y323" s="12800"/>
      <c r="Z323" s="12801"/>
      <c r="AA323" s="12802"/>
      <c r="AB323" s="12803"/>
      <c r="AC323" s="12804"/>
      <c r="AD323" s="12805"/>
      <c r="AE323" s="12806"/>
      <c r="AF323" s="12807"/>
      <c r="AG323" s="12808"/>
      <c r="AH323" s="12809"/>
      <c r="AI323" s="12810"/>
      <c r="AJ323" s="12811"/>
      <c r="AK323" s="12812"/>
      <c r="AL323" s="12813"/>
      <c r="AM323" s="12814"/>
      <c r="AN323" s="12815"/>
      <c r="AO323" s="12816"/>
      <c r="AP323" s="12817"/>
      <c r="AQ323" s="12818"/>
      <c r="AR323" s="12819"/>
      <c r="AS323" s="12820"/>
      <c r="AT323" s="12821"/>
      <c r="AU323" s="12822"/>
      <c r="AV323" s="12823"/>
      <c r="AW323" s="12824"/>
      <c r="AX323" s="12825"/>
      <c r="AY323" s="12826"/>
      <c r="AZ323" s="12827"/>
      <c r="BA323" s="12828"/>
      <c r="BB323" s="12829"/>
      <c r="BC323" s="12830"/>
      <c r="BD323" s="12831"/>
      <c r="BE323" s="12832"/>
      <c r="BF323" s="12833"/>
      <c r="BG323" s="12834"/>
      <c r="BH323" s="12835"/>
      <c r="BI323" s="12836"/>
      <c r="BJ323" s="12837"/>
      <c r="BK323" s="12838"/>
      <c r="BL323" s="12839"/>
      <c r="BM323" s="12840"/>
      <c r="BN323" s="12841"/>
      <c r="BO323" s="12842"/>
      <c r="BP323" s="12843"/>
      <c r="BQ323" s="12844"/>
      <c r="BR323" s="12845"/>
      <c r="BS323" s="12846"/>
      <c r="BT323" s="12847"/>
      <c r="BU323" s="12848"/>
      <c r="BV323" s="12849"/>
      <c r="BW323" s="12850"/>
      <c r="BX323" s="12851"/>
      <c r="BY323" s="12852"/>
      <c r="BZ323" s="12853"/>
      <c r="CA323" s="12854"/>
      <c r="CB323" s="12855"/>
      <c r="CC323" s="12856"/>
      <c r="CD323" s="12857"/>
      <c r="CE323" s="12858"/>
      <c r="CF323" s="12859"/>
      <c r="CG323" s="12860"/>
      <c r="CH323" s="12861"/>
      <c r="CI323" s="12862"/>
      <c r="CJ323" s="12863"/>
      <c r="CK323" s="12864"/>
      <c r="CL323" s="12865"/>
      <c r="CM323" s="12866"/>
      <c r="CN323" s="12867"/>
      <c r="CO323" s="12868"/>
      <c r="CP323" s="12869"/>
      <c r="CQ323" s="12870"/>
      <c r="CR323" s="12871"/>
      <c r="CS323" s="12872"/>
      <c r="CT323" s="12873"/>
      <c r="CU323" s="12874"/>
      <c r="CV323" s="12875"/>
      <c r="CW323" s="12876"/>
      <c r="CX323" s="12877"/>
      <c r="CY323" s="12878"/>
      <c r="CZ323" s="12879"/>
      <c r="DA323" s="12880"/>
      <c r="DB323" s="12881"/>
      <c r="DC323" s="12882"/>
      <c r="DD323" s="12883"/>
      <c r="DE323" s="12884"/>
      <c r="DF323" s="12885"/>
      <c r="DG323" s="12886"/>
      <c r="DH323" s="12887"/>
      <c r="DI323" s="12888"/>
      <c r="DJ323" s="12889"/>
      <c r="DK323" s="12890"/>
      <c r="DL323" s="12891"/>
      <c r="DM323" s="12892"/>
      <c r="DN323" s="12893"/>
      <c r="DO323" s="12894"/>
      <c r="DP323" s="12895"/>
      <c r="DQ323" s="12896"/>
      <c r="DR323" s="12897"/>
      <c r="DS323" s="12898"/>
      <c r="DT323" s="12899"/>
      <c r="DU323" s="12900"/>
      <c r="DV323" s="12901"/>
      <c r="DW323" s="12902"/>
      <c r="DX323" s="12903"/>
      <c r="DY323" s="12904"/>
      <c r="DZ323" s="12905"/>
      <c r="EA323" s="12906"/>
      <c r="EB323" s="12907"/>
      <c r="EC323" s="12908"/>
      <c r="ED323" s="12909"/>
      <c r="EE323" s="12910"/>
      <c r="EF323" s="12911"/>
      <c r="EG323" s="12912"/>
      <c r="EH323" s="12913"/>
      <c r="EI323" s="12914"/>
      <c r="EJ323" s="12915"/>
      <c r="EK323" s="12916"/>
      <c r="EL323" s="12917"/>
      <c r="EM323" s="15689"/>
      <c r="EN323" s="15690"/>
      <c r="EO323" s="15691"/>
      <c r="EP323" s="15692"/>
      <c r="EQ323" s="15693"/>
      <c r="ER323" s="15694"/>
      <c r="ES323" s="15695"/>
      <c r="ET323" s="15696"/>
      <c r="EU323" s="15697"/>
      <c r="EV323" s="15698"/>
      <c r="EW323" s="15699"/>
      <c r="EX323" s="12918"/>
      <c r="EY323" s="10499" t="s">
        <v>622</v>
      </c>
      <c r="EZ323" s="10500"/>
      <c r="FA323" s="10501"/>
      <c r="FB323" s="10501" t="str">
        <f t="shared" si="5"/>
        <v>Добавить значение признака дифференциации</v>
      </c>
      <c r="FC323" s="10501"/>
      <c r="FD323" s="10501"/>
    </row>
    <row r="324" spans="1:160" s="15700" customFormat="1" ht="21" customHeight="1">
      <c r="A324" s="10490"/>
      <c r="B324" s="10490"/>
      <c r="C324" s="10490"/>
      <c r="D324" s="10490"/>
      <c r="E324" s="16125"/>
      <c r="F324" s="16125" t="s">
        <v>117</v>
      </c>
      <c r="G324" s="16125"/>
      <c r="H324" s="16125"/>
      <c r="I324" s="16122"/>
      <c r="J324" s="10490"/>
      <c r="K324" s="10490"/>
      <c r="L324" s="10491"/>
      <c r="M324" s="10508"/>
      <c r="N324" s="10508"/>
      <c r="O324" s="10508"/>
      <c r="P324" s="16123"/>
      <c r="Q324" s="10509"/>
      <c r="R324" s="10510"/>
      <c r="S324" s="12919"/>
      <c r="T324" s="12920" t="s">
        <v>549</v>
      </c>
      <c r="U324" s="12921"/>
      <c r="V324" s="12922"/>
      <c r="W324" s="12923"/>
      <c r="X324" s="12924"/>
      <c r="Y324" s="12925"/>
      <c r="Z324" s="12926"/>
      <c r="AA324" s="12927"/>
      <c r="AB324" s="12928"/>
      <c r="AC324" s="12929"/>
      <c r="AD324" s="12930"/>
      <c r="AE324" s="12931"/>
      <c r="AF324" s="12932"/>
      <c r="AG324" s="12933"/>
      <c r="AH324" s="12934"/>
      <c r="AI324" s="12935"/>
      <c r="AJ324" s="12936"/>
      <c r="AK324" s="12937"/>
      <c r="AL324" s="12938"/>
      <c r="AM324" s="12939"/>
      <c r="AN324" s="12940"/>
      <c r="AO324" s="12941"/>
      <c r="AP324" s="12942"/>
      <c r="AQ324" s="12943"/>
      <c r="AR324" s="12944"/>
      <c r="AS324" s="12945"/>
      <c r="AT324" s="12946"/>
      <c r="AU324" s="12947"/>
      <c r="AV324" s="12948"/>
      <c r="AW324" s="12949"/>
      <c r="AX324" s="12950"/>
      <c r="AY324" s="12951"/>
      <c r="AZ324" s="12952"/>
      <c r="BA324" s="12953"/>
      <c r="BB324" s="12954"/>
      <c r="BC324" s="12955"/>
      <c r="BD324" s="12956"/>
      <c r="BE324" s="12957"/>
      <c r="BF324" s="12958"/>
      <c r="BG324" s="12959"/>
      <c r="BH324" s="12960"/>
      <c r="BI324" s="12961"/>
      <c r="BJ324" s="12962"/>
      <c r="BK324" s="12963"/>
      <c r="BL324" s="12964"/>
      <c r="BM324" s="12965"/>
      <c r="BN324" s="12966"/>
      <c r="BO324" s="12967"/>
      <c r="BP324" s="12968"/>
      <c r="BQ324" s="12969"/>
      <c r="BR324" s="12970"/>
      <c r="BS324" s="12971"/>
      <c r="BT324" s="12972"/>
      <c r="BU324" s="12973"/>
      <c r="BV324" s="12974"/>
      <c r="BW324" s="12975"/>
      <c r="BX324" s="12976"/>
      <c r="BY324" s="12977"/>
      <c r="BZ324" s="12978"/>
      <c r="CA324" s="12979"/>
      <c r="CB324" s="12980"/>
      <c r="CC324" s="12981"/>
      <c r="CD324" s="12982"/>
      <c r="CE324" s="12983"/>
      <c r="CF324" s="12984"/>
      <c r="CG324" s="12985"/>
      <c r="CH324" s="12986"/>
      <c r="CI324" s="12987"/>
      <c r="CJ324" s="12988"/>
      <c r="CK324" s="12989"/>
      <c r="CL324" s="12990"/>
      <c r="CM324" s="12991"/>
      <c r="CN324" s="12992"/>
      <c r="CO324" s="12993"/>
      <c r="CP324" s="12994"/>
      <c r="CQ324" s="12995"/>
      <c r="CR324" s="12996"/>
      <c r="CS324" s="12997"/>
      <c r="CT324" s="12998"/>
      <c r="CU324" s="12999"/>
      <c r="CV324" s="13000"/>
      <c r="CW324" s="13001"/>
      <c r="CX324" s="13002"/>
      <c r="CY324" s="13003"/>
      <c r="CZ324" s="13004"/>
      <c r="DA324" s="13005"/>
      <c r="DB324" s="13006"/>
      <c r="DC324" s="13007"/>
      <c r="DD324" s="13008"/>
      <c r="DE324" s="13009"/>
      <c r="DF324" s="13010"/>
      <c r="DG324" s="13011"/>
      <c r="DH324" s="13012"/>
      <c r="DI324" s="13013"/>
      <c r="DJ324" s="13014"/>
      <c r="DK324" s="13015"/>
      <c r="DL324" s="13016"/>
      <c r="DM324" s="13017"/>
      <c r="DN324" s="13018"/>
      <c r="DO324" s="13019"/>
      <c r="DP324" s="13020"/>
      <c r="DQ324" s="13021"/>
      <c r="DR324" s="13022"/>
      <c r="DS324" s="13023"/>
      <c r="DT324" s="13024"/>
      <c r="DU324" s="13025"/>
      <c r="DV324" s="13026"/>
      <c r="DW324" s="13027"/>
      <c r="DX324" s="13028"/>
      <c r="DY324" s="13029"/>
      <c r="DZ324" s="13030"/>
      <c r="EA324" s="13031"/>
      <c r="EB324" s="13032"/>
      <c r="EC324" s="13033"/>
      <c r="ED324" s="13034"/>
      <c r="EE324" s="13035"/>
      <c r="EF324" s="13036"/>
      <c r="EG324" s="13037"/>
      <c r="EH324" s="13038"/>
      <c r="EI324" s="13039"/>
      <c r="EJ324" s="13040"/>
      <c r="EK324" s="13041"/>
      <c r="EL324" s="13042"/>
      <c r="EM324" s="15701"/>
      <c r="EN324" s="15702"/>
      <c r="EO324" s="15703"/>
      <c r="EP324" s="15704"/>
      <c r="EQ324" s="15705"/>
      <c r="ER324" s="15706"/>
      <c r="ES324" s="15707"/>
      <c r="ET324" s="15708"/>
      <c r="EU324" s="15709"/>
      <c r="EV324" s="15710"/>
      <c r="EW324" s="15711"/>
      <c r="EX324" s="13043"/>
      <c r="EY324" s="13044"/>
      <c r="EZ324" s="10500"/>
      <c r="FA324" s="10501"/>
      <c r="FB324" s="10501" t="str">
        <f t="shared" si="5"/>
        <v>Добавить группу потребителей</v>
      </c>
      <c r="FC324" s="10501"/>
      <c r="FD324" s="10501"/>
    </row>
    <row r="325" spans="1:160" s="15712" customFormat="1" ht="21" customHeight="1">
      <c r="A325" s="10490"/>
      <c r="B325" s="10490"/>
      <c r="C325" s="10490"/>
      <c r="D325" s="10490"/>
      <c r="E325" s="16125"/>
      <c r="F325" s="16125" t="s">
        <v>117</v>
      </c>
      <c r="G325" s="16125"/>
      <c r="H325" s="16124"/>
      <c r="I325" s="10490"/>
      <c r="J325" s="10490"/>
      <c r="K325" s="10490"/>
      <c r="L325" s="10491"/>
      <c r="M325" s="10492"/>
      <c r="N325" s="10492"/>
      <c r="O325" s="10772"/>
      <c r="P325" s="10494"/>
      <c r="Q325" s="10773"/>
      <c r="R325" s="10495"/>
      <c r="S325" s="13045"/>
      <c r="T325" s="13046" t="s">
        <v>623</v>
      </c>
      <c r="U325" s="13047"/>
      <c r="V325" s="13048"/>
      <c r="W325" s="13049"/>
      <c r="X325" s="13050"/>
      <c r="Y325" s="13051"/>
      <c r="Z325" s="13052"/>
      <c r="AA325" s="13053"/>
      <c r="AB325" s="13054"/>
      <c r="AC325" s="13055"/>
      <c r="AD325" s="13056"/>
      <c r="AE325" s="13057"/>
      <c r="AF325" s="13058"/>
      <c r="AG325" s="13059"/>
      <c r="AH325" s="13060"/>
      <c r="AI325" s="13061"/>
      <c r="AJ325" s="13062"/>
      <c r="AK325" s="13063"/>
      <c r="AL325" s="13064"/>
      <c r="AM325" s="13065"/>
      <c r="AN325" s="13066"/>
      <c r="AO325" s="13067"/>
      <c r="AP325" s="13068"/>
      <c r="AQ325" s="13069"/>
      <c r="AR325" s="13070"/>
      <c r="AS325" s="13071"/>
      <c r="AT325" s="13072"/>
      <c r="AU325" s="13073"/>
      <c r="AV325" s="13074"/>
      <c r="AW325" s="13075"/>
      <c r="AX325" s="13076"/>
      <c r="AY325" s="13077"/>
      <c r="AZ325" s="13078"/>
      <c r="BA325" s="13079"/>
      <c r="BB325" s="13080"/>
      <c r="BC325" s="13081"/>
      <c r="BD325" s="13082"/>
      <c r="BE325" s="13083"/>
      <c r="BF325" s="13084"/>
      <c r="BG325" s="13085"/>
      <c r="BH325" s="13086"/>
      <c r="BI325" s="13087"/>
      <c r="BJ325" s="13088"/>
      <c r="BK325" s="13089"/>
      <c r="BL325" s="13090"/>
      <c r="BM325" s="13091"/>
      <c r="BN325" s="13092"/>
      <c r="BO325" s="13093"/>
      <c r="BP325" s="13094"/>
      <c r="BQ325" s="13095"/>
      <c r="BR325" s="13096"/>
      <c r="BS325" s="13097"/>
      <c r="BT325" s="13098"/>
      <c r="BU325" s="13099"/>
      <c r="BV325" s="13100"/>
      <c r="BW325" s="13101"/>
      <c r="BX325" s="13102"/>
      <c r="BY325" s="13103"/>
      <c r="BZ325" s="13104"/>
      <c r="CA325" s="13105"/>
      <c r="CB325" s="13106"/>
      <c r="CC325" s="13107"/>
      <c r="CD325" s="13108"/>
      <c r="CE325" s="13109"/>
      <c r="CF325" s="13110"/>
      <c r="CG325" s="13111"/>
      <c r="CH325" s="13112"/>
      <c r="CI325" s="13113"/>
      <c r="CJ325" s="13114"/>
      <c r="CK325" s="13115"/>
      <c r="CL325" s="13116"/>
      <c r="CM325" s="13117"/>
      <c r="CN325" s="13118"/>
      <c r="CO325" s="13119"/>
      <c r="CP325" s="13120"/>
      <c r="CQ325" s="13121"/>
      <c r="CR325" s="13122"/>
      <c r="CS325" s="13123"/>
      <c r="CT325" s="13124"/>
      <c r="CU325" s="13125"/>
      <c r="CV325" s="13126"/>
      <c r="CW325" s="13127"/>
      <c r="CX325" s="13128"/>
      <c r="CY325" s="13129"/>
      <c r="CZ325" s="13130"/>
      <c r="DA325" s="13131"/>
      <c r="DB325" s="13132"/>
      <c r="DC325" s="13133"/>
      <c r="DD325" s="13134"/>
      <c r="DE325" s="13135"/>
      <c r="DF325" s="13136"/>
      <c r="DG325" s="13137"/>
      <c r="DH325" s="13138"/>
      <c r="DI325" s="13139"/>
      <c r="DJ325" s="13140"/>
      <c r="DK325" s="13141"/>
      <c r="DL325" s="13142"/>
      <c r="DM325" s="13143"/>
      <c r="DN325" s="13144"/>
      <c r="DO325" s="13145"/>
      <c r="DP325" s="13146"/>
      <c r="DQ325" s="13147"/>
      <c r="DR325" s="13148"/>
      <c r="DS325" s="13149"/>
      <c r="DT325" s="13150"/>
      <c r="DU325" s="13151"/>
      <c r="DV325" s="13152"/>
      <c r="DW325" s="13153"/>
      <c r="DX325" s="13154"/>
      <c r="DY325" s="13155"/>
      <c r="DZ325" s="13156"/>
      <c r="EA325" s="13157"/>
      <c r="EB325" s="13158"/>
      <c r="EC325" s="13159"/>
      <c r="ED325" s="13160"/>
      <c r="EE325" s="13161"/>
      <c r="EF325" s="13162"/>
      <c r="EG325" s="13163"/>
      <c r="EH325" s="13164"/>
      <c r="EI325" s="13165"/>
      <c r="EJ325" s="13166"/>
      <c r="EK325" s="13167"/>
      <c r="EL325" s="13168"/>
      <c r="EM325" s="15713"/>
      <c r="EN325" s="15714"/>
      <c r="EO325" s="15715"/>
      <c r="EP325" s="15716"/>
      <c r="EQ325" s="15717"/>
      <c r="ER325" s="15718"/>
      <c r="ES325" s="15719"/>
      <c r="ET325" s="15720"/>
      <c r="EU325" s="15721"/>
      <c r="EV325" s="15722"/>
      <c r="EW325" s="15723"/>
      <c r="EX325" s="13169"/>
      <c r="EY325" s="13170"/>
      <c r="EZ325" s="10500"/>
      <c r="FA325" s="10501"/>
      <c r="FB325" s="10501" t="str">
        <f t="shared" si="5"/>
        <v>Добавить наименование признака дифференциации</v>
      </c>
      <c r="FC325" s="10501"/>
      <c r="FD325" s="10501"/>
    </row>
    <row r="326" spans="1:160" s="15724" customFormat="1" ht="14.25" customHeight="1">
      <c r="A326" s="11277"/>
      <c r="B326" s="11277"/>
      <c r="C326" s="11277"/>
      <c r="D326" s="11277"/>
      <c r="E326" s="16125"/>
      <c r="F326" s="16124" t="s">
        <v>117</v>
      </c>
      <c r="G326" s="11277"/>
      <c r="H326" s="11277"/>
      <c r="I326" s="11277"/>
      <c r="J326" s="11277"/>
      <c r="K326" s="11277"/>
      <c r="L326" s="11278"/>
      <c r="M326" s="11279"/>
      <c r="N326" s="11279"/>
      <c r="O326" s="10500"/>
      <c r="P326" s="11280"/>
      <c r="Q326" s="11281"/>
      <c r="R326" s="11280"/>
      <c r="S326" s="11282"/>
      <c r="T326" s="11283" t="s">
        <v>290</v>
      </c>
      <c r="U326" s="11284"/>
      <c r="V326" s="11284"/>
      <c r="W326" s="11284"/>
      <c r="X326" s="11284"/>
      <c r="Y326" s="11284"/>
      <c r="Z326" s="11284"/>
      <c r="AA326" s="11284"/>
      <c r="AB326" s="11284"/>
      <c r="AC326" s="11284"/>
      <c r="AD326" s="11284"/>
      <c r="AE326" s="11284"/>
      <c r="AF326" s="11284"/>
      <c r="AG326" s="11284"/>
      <c r="AH326" s="11284"/>
      <c r="AI326" s="11284"/>
      <c r="AJ326" s="11284"/>
      <c r="AK326" s="11284"/>
      <c r="AL326" s="11284"/>
      <c r="AM326" s="11284"/>
      <c r="AN326" s="11284"/>
      <c r="AO326" s="11284"/>
      <c r="AP326" s="11284"/>
      <c r="AQ326" s="11284"/>
      <c r="AR326" s="11284"/>
      <c r="AS326" s="11284"/>
      <c r="AT326" s="11284"/>
      <c r="AU326" s="11284"/>
      <c r="AV326" s="11284"/>
      <c r="AW326" s="11284"/>
      <c r="AX326" s="11284"/>
      <c r="AY326" s="11284"/>
      <c r="AZ326" s="11284"/>
      <c r="BA326" s="11284"/>
      <c r="BB326" s="11284"/>
      <c r="BC326" s="11284"/>
      <c r="BD326" s="11284"/>
      <c r="BE326" s="11284"/>
      <c r="BF326" s="11284"/>
      <c r="BG326" s="11284"/>
      <c r="BH326" s="11284"/>
      <c r="BI326" s="11284"/>
      <c r="BJ326" s="11284"/>
      <c r="BK326" s="11284"/>
      <c r="BL326" s="11284"/>
      <c r="BM326" s="11284"/>
      <c r="BN326" s="11284"/>
      <c r="BO326" s="11284"/>
      <c r="BP326" s="11284"/>
      <c r="BQ326" s="11284"/>
      <c r="BR326" s="11284"/>
      <c r="BS326" s="11284"/>
      <c r="BT326" s="11284"/>
      <c r="BU326" s="11284"/>
      <c r="BV326" s="11284"/>
      <c r="BW326" s="11284"/>
      <c r="BX326" s="11284"/>
      <c r="BY326" s="11284"/>
      <c r="BZ326" s="11284"/>
      <c r="CA326" s="11284"/>
      <c r="CB326" s="11284"/>
      <c r="CC326" s="11284"/>
      <c r="CD326" s="11284"/>
      <c r="CE326" s="11284"/>
      <c r="CF326" s="11284"/>
      <c r="CG326" s="11284"/>
      <c r="CH326" s="11284"/>
      <c r="CI326" s="11284"/>
      <c r="CJ326" s="11284"/>
      <c r="CK326" s="11284"/>
      <c r="CL326" s="11284"/>
      <c r="CM326" s="11284"/>
      <c r="CN326" s="11284"/>
      <c r="CO326" s="11284"/>
      <c r="CP326" s="11284"/>
      <c r="CQ326" s="11284"/>
      <c r="CR326" s="11284"/>
      <c r="CS326" s="11284"/>
      <c r="CT326" s="11284"/>
      <c r="CU326" s="11284"/>
      <c r="CV326" s="11284"/>
      <c r="CW326" s="11284"/>
      <c r="CX326" s="11284"/>
      <c r="CY326" s="11284"/>
      <c r="CZ326" s="11284"/>
      <c r="DA326" s="11284"/>
      <c r="DB326" s="11284"/>
      <c r="DC326" s="11284"/>
      <c r="DD326" s="11284"/>
      <c r="DE326" s="11284"/>
      <c r="DF326" s="11284"/>
      <c r="DG326" s="11284"/>
      <c r="DH326" s="11284"/>
      <c r="DI326" s="11284"/>
      <c r="DJ326" s="11284"/>
      <c r="DK326" s="11284"/>
      <c r="DL326" s="11284"/>
      <c r="DM326" s="11284"/>
      <c r="DN326" s="11284"/>
      <c r="DO326" s="11284"/>
      <c r="DP326" s="11284"/>
      <c r="DQ326" s="11284"/>
      <c r="DR326" s="11284"/>
      <c r="DS326" s="11284"/>
      <c r="DT326" s="11284"/>
      <c r="DU326" s="11284"/>
      <c r="DV326" s="11284"/>
      <c r="DW326" s="11284"/>
      <c r="DX326" s="11284"/>
      <c r="DY326" s="11284"/>
      <c r="DZ326" s="11284"/>
      <c r="EA326" s="11284"/>
      <c r="EB326" s="11284"/>
      <c r="EC326" s="11284"/>
      <c r="ED326" s="11284"/>
      <c r="EE326" s="11284"/>
      <c r="EF326" s="11284"/>
      <c r="EG326" s="11284"/>
      <c r="EH326" s="11284"/>
      <c r="EI326" s="11284"/>
      <c r="EJ326" s="11284"/>
      <c r="EK326" s="11284"/>
      <c r="EL326" s="11285"/>
      <c r="EM326" s="14483"/>
      <c r="EN326" s="14483"/>
      <c r="EO326" s="14483"/>
      <c r="EP326" s="14483"/>
      <c r="EQ326" s="14483"/>
      <c r="ER326" s="14483"/>
      <c r="ES326" s="14483"/>
      <c r="ET326" s="14483"/>
      <c r="EU326" s="14483"/>
      <c r="EV326" s="14483"/>
      <c r="EW326" s="14483"/>
      <c r="EX326" s="11284"/>
      <c r="EY326" s="11284"/>
      <c r="EZ326" s="10500"/>
      <c r="FA326" s="10501"/>
      <c r="FB326" s="10501" t="str">
        <f t="shared" si="5"/>
        <v>Добавить централизованную систему для дифференциации</v>
      </c>
      <c r="FC326" s="10501"/>
      <c r="FD326" s="10501"/>
    </row>
    <row r="327" spans="1:160" s="15725" customFormat="1" ht="23.25" customHeight="1">
      <c r="A327" s="10490"/>
      <c r="B327" s="10490" t="s">
        <v>381</v>
      </c>
      <c r="C327" s="10490"/>
      <c r="D327" s="10490"/>
      <c r="E327" s="16125"/>
      <c r="F327" s="16124" t="s">
        <v>92</v>
      </c>
      <c r="G327" s="10490"/>
      <c r="H327" s="10490"/>
      <c r="I327" s="10490"/>
      <c r="J327" s="10490"/>
      <c r="K327" s="10490"/>
      <c r="L327" s="10491"/>
      <c r="M327" s="10492"/>
      <c r="N327" s="10492"/>
      <c r="O327" s="10492"/>
      <c r="P327" s="10502"/>
      <c r="Q327" s="10503"/>
      <c r="R327" s="10504"/>
      <c r="S327" s="10496" t="str">
        <f>INDEX(PT_DIFFERENTIATION_NUM_TER,MATCH(B327,PT_DIFFERENTIATION_TER_ID,0))</f>
        <v>3.7</v>
      </c>
      <c r="T327" s="10505" t="s">
        <v>534</v>
      </c>
      <c r="U327" s="10498"/>
      <c r="V327" s="16110"/>
      <c r="W327" s="16111"/>
      <c r="X327" s="16111"/>
      <c r="Y327" s="16111"/>
      <c r="Z327" s="16111"/>
      <c r="AA327" s="16111"/>
      <c r="AB327" s="16111"/>
      <c r="AC327" s="16111"/>
      <c r="AD327" s="16111"/>
      <c r="AE327" s="16111"/>
      <c r="AF327" s="16112"/>
      <c r="AG327" s="16110" t="str">
        <f>INDEX(PT_DIFFERENTIATION_TER,MATCH(B327,PT_DIFFERENTIATION_TER_ID,0))</f>
        <v>Территория 7</v>
      </c>
      <c r="AH327" s="16111"/>
      <c r="AI327" s="16111"/>
      <c r="AJ327" s="16111"/>
      <c r="AK327" s="16111"/>
      <c r="AL327" s="16111"/>
      <c r="AM327" s="16111"/>
      <c r="AN327" s="16111"/>
      <c r="AO327" s="16111"/>
      <c r="AP327" s="16111"/>
      <c r="AQ327" s="16111"/>
      <c r="AR327" s="16110"/>
      <c r="AS327" s="16111"/>
      <c r="AT327" s="16111"/>
      <c r="AU327" s="16111"/>
      <c r="AV327" s="16111"/>
      <c r="AW327" s="16111"/>
      <c r="AX327" s="16111"/>
      <c r="AY327" s="16111"/>
      <c r="AZ327" s="16111"/>
      <c r="BA327" s="16111"/>
      <c r="BB327" s="16112"/>
      <c r="BC327" s="16110"/>
      <c r="BD327" s="16111"/>
      <c r="BE327" s="16111"/>
      <c r="BF327" s="16111"/>
      <c r="BG327" s="16111"/>
      <c r="BH327" s="16111"/>
      <c r="BI327" s="16111"/>
      <c r="BJ327" s="16111"/>
      <c r="BK327" s="16111"/>
      <c r="BL327" s="16111"/>
      <c r="BM327" s="16112"/>
      <c r="BN327" s="16110"/>
      <c r="BO327" s="16111"/>
      <c r="BP327" s="16111"/>
      <c r="BQ327" s="16111"/>
      <c r="BR327" s="16111"/>
      <c r="BS327" s="16111"/>
      <c r="BT327" s="16111"/>
      <c r="BU327" s="16111"/>
      <c r="BV327" s="16111"/>
      <c r="BW327" s="16111"/>
      <c r="BX327" s="16112"/>
      <c r="BY327" s="16110"/>
      <c r="BZ327" s="16111"/>
      <c r="CA327" s="16111"/>
      <c r="CB327" s="16111"/>
      <c r="CC327" s="16111"/>
      <c r="CD327" s="16111"/>
      <c r="CE327" s="16111"/>
      <c r="CF327" s="16111"/>
      <c r="CG327" s="16111"/>
      <c r="CH327" s="16111"/>
      <c r="CI327" s="16112"/>
      <c r="CJ327" s="16110"/>
      <c r="CK327" s="16111"/>
      <c r="CL327" s="16111"/>
      <c r="CM327" s="16111"/>
      <c r="CN327" s="16111"/>
      <c r="CO327" s="16111"/>
      <c r="CP327" s="16111"/>
      <c r="CQ327" s="16111"/>
      <c r="CR327" s="16111"/>
      <c r="CS327" s="16111"/>
      <c r="CT327" s="16112"/>
      <c r="CU327" s="16110"/>
      <c r="CV327" s="16111"/>
      <c r="CW327" s="16111"/>
      <c r="CX327" s="16111"/>
      <c r="CY327" s="16111"/>
      <c r="CZ327" s="16111"/>
      <c r="DA327" s="16111"/>
      <c r="DB327" s="16111"/>
      <c r="DC327" s="16111"/>
      <c r="DD327" s="16111"/>
      <c r="DE327" s="16112"/>
      <c r="DF327" s="16110"/>
      <c r="DG327" s="16111"/>
      <c r="DH327" s="16111"/>
      <c r="DI327" s="16111"/>
      <c r="DJ327" s="16111"/>
      <c r="DK327" s="16111"/>
      <c r="DL327" s="16111"/>
      <c r="DM327" s="16111"/>
      <c r="DN327" s="16111"/>
      <c r="DO327" s="16111"/>
      <c r="DP327" s="16112"/>
      <c r="DQ327" s="16110"/>
      <c r="DR327" s="16111"/>
      <c r="DS327" s="16111"/>
      <c r="DT327" s="16111"/>
      <c r="DU327" s="16111"/>
      <c r="DV327" s="16111"/>
      <c r="DW327" s="16111"/>
      <c r="DX327" s="16111"/>
      <c r="DY327" s="16111"/>
      <c r="DZ327" s="16111"/>
      <c r="EA327" s="16112"/>
      <c r="EB327" s="16110"/>
      <c r="EC327" s="16111"/>
      <c r="ED327" s="16111"/>
      <c r="EE327" s="16111"/>
      <c r="EF327" s="16111"/>
      <c r="EG327" s="16111"/>
      <c r="EH327" s="16111"/>
      <c r="EI327" s="16111"/>
      <c r="EJ327" s="16111"/>
      <c r="EK327" s="16111"/>
      <c r="EL327" s="16199"/>
      <c r="EM327" s="16110"/>
      <c r="EN327" s="16111"/>
      <c r="EO327" s="16111"/>
      <c r="EP327" s="16111"/>
      <c r="EQ327" s="16111"/>
      <c r="ER327" s="16111"/>
      <c r="ES327" s="16111"/>
      <c r="ET327" s="16111"/>
      <c r="EU327" s="16111"/>
      <c r="EV327" s="16111"/>
      <c r="EW327" s="16112"/>
      <c r="EX327" s="16112"/>
      <c r="EY327" s="10499" t="s">
        <v>535</v>
      </c>
      <c r="EZ327" s="10500"/>
      <c r="FA327" s="10501"/>
      <c r="FB327" s="10501" t="str">
        <f t="shared" si="5"/>
        <v>Территория действия тарифа</v>
      </c>
      <c r="FC327" s="10501"/>
      <c r="FD327" s="10501"/>
    </row>
    <row r="328" spans="1:160" s="15726" customFormat="1" ht="23.25" customHeight="1">
      <c r="A328" s="10490"/>
      <c r="B328" s="10490"/>
      <c r="C328" s="10490" t="s">
        <v>382</v>
      </c>
      <c r="D328" s="10490"/>
      <c r="E328" s="16125"/>
      <c r="F328" s="16125" t="s">
        <v>91</v>
      </c>
      <c r="G328" s="16124">
        <v>1</v>
      </c>
      <c r="H328" s="10490"/>
      <c r="I328" s="10490"/>
      <c r="J328" s="10490"/>
      <c r="K328" s="10490"/>
      <c r="L328" s="10491"/>
      <c r="M328" s="10492"/>
      <c r="N328" s="10492"/>
      <c r="O328" s="10492"/>
      <c r="P328" s="10506"/>
      <c r="Q328" s="10503"/>
      <c r="R328" s="10504"/>
      <c r="S328" s="10496" t="str">
        <f>INDEX(PT_DIFFERENTIATION_NUM_CS,MATCH(C328,PT_DIFFERENTIATION_CS_ID,0))</f>
        <v>3.7.1</v>
      </c>
      <c r="T328" s="10507" t="s">
        <v>665</v>
      </c>
      <c r="U328" s="10498"/>
      <c r="V328" s="16110"/>
      <c r="W328" s="16111"/>
      <c r="X328" s="16111"/>
      <c r="Y328" s="16111"/>
      <c r="Z328" s="16111"/>
      <c r="AA328" s="16111"/>
      <c r="AB328" s="16111"/>
      <c r="AC328" s="16111"/>
      <c r="AD328" s="16111"/>
      <c r="AE328" s="16111"/>
      <c r="AF328" s="16112"/>
      <c r="AG328" s="16110" t="str">
        <f>INDEX(PT_DIFFERENTIATION_CS,MATCH(C328,PT_DIFFERENTIATION_CS_ID,0))</f>
        <v>без дифференциации</v>
      </c>
      <c r="AH328" s="16111"/>
      <c r="AI328" s="16111"/>
      <c r="AJ328" s="16111"/>
      <c r="AK328" s="16111"/>
      <c r="AL328" s="16111"/>
      <c r="AM328" s="16111"/>
      <c r="AN328" s="16111"/>
      <c r="AO328" s="16111"/>
      <c r="AP328" s="16111"/>
      <c r="AQ328" s="16111"/>
      <c r="AR328" s="16110"/>
      <c r="AS328" s="16111"/>
      <c r="AT328" s="16111"/>
      <c r="AU328" s="16111"/>
      <c r="AV328" s="16111"/>
      <c r="AW328" s="16111"/>
      <c r="AX328" s="16111"/>
      <c r="AY328" s="16111"/>
      <c r="AZ328" s="16111"/>
      <c r="BA328" s="16111"/>
      <c r="BB328" s="16112"/>
      <c r="BC328" s="16110"/>
      <c r="BD328" s="16111"/>
      <c r="BE328" s="16111"/>
      <c r="BF328" s="16111"/>
      <c r="BG328" s="16111"/>
      <c r="BH328" s="16111"/>
      <c r="BI328" s="16111"/>
      <c r="BJ328" s="16111"/>
      <c r="BK328" s="16111"/>
      <c r="BL328" s="16111"/>
      <c r="BM328" s="16112"/>
      <c r="BN328" s="16110"/>
      <c r="BO328" s="16111"/>
      <c r="BP328" s="16111"/>
      <c r="BQ328" s="16111"/>
      <c r="BR328" s="16111"/>
      <c r="BS328" s="16111"/>
      <c r="BT328" s="16111"/>
      <c r="BU328" s="16111"/>
      <c r="BV328" s="16111"/>
      <c r="BW328" s="16111"/>
      <c r="BX328" s="16112"/>
      <c r="BY328" s="16110"/>
      <c r="BZ328" s="16111"/>
      <c r="CA328" s="16111"/>
      <c r="CB328" s="16111"/>
      <c r="CC328" s="16111"/>
      <c r="CD328" s="16111"/>
      <c r="CE328" s="16111"/>
      <c r="CF328" s="16111"/>
      <c r="CG328" s="16111"/>
      <c r="CH328" s="16111"/>
      <c r="CI328" s="16112"/>
      <c r="CJ328" s="16110"/>
      <c r="CK328" s="16111"/>
      <c r="CL328" s="16111"/>
      <c r="CM328" s="16111"/>
      <c r="CN328" s="16111"/>
      <c r="CO328" s="16111"/>
      <c r="CP328" s="16111"/>
      <c r="CQ328" s="16111"/>
      <c r="CR328" s="16111"/>
      <c r="CS328" s="16111"/>
      <c r="CT328" s="16112"/>
      <c r="CU328" s="16110"/>
      <c r="CV328" s="16111"/>
      <c r="CW328" s="16111"/>
      <c r="CX328" s="16111"/>
      <c r="CY328" s="16111"/>
      <c r="CZ328" s="16111"/>
      <c r="DA328" s="16111"/>
      <c r="DB328" s="16111"/>
      <c r="DC328" s="16111"/>
      <c r="DD328" s="16111"/>
      <c r="DE328" s="16112"/>
      <c r="DF328" s="16110"/>
      <c r="DG328" s="16111"/>
      <c r="DH328" s="16111"/>
      <c r="DI328" s="16111"/>
      <c r="DJ328" s="16111"/>
      <c r="DK328" s="16111"/>
      <c r="DL328" s="16111"/>
      <c r="DM328" s="16111"/>
      <c r="DN328" s="16111"/>
      <c r="DO328" s="16111"/>
      <c r="DP328" s="16112"/>
      <c r="DQ328" s="16110"/>
      <c r="DR328" s="16111"/>
      <c r="DS328" s="16111"/>
      <c r="DT328" s="16111"/>
      <c r="DU328" s="16111"/>
      <c r="DV328" s="16111"/>
      <c r="DW328" s="16111"/>
      <c r="DX328" s="16111"/>
      <c r="DY328" s="16111"/>
      <c r="DZ328" s="16111"/>
      <c r="EA328" s="16112"/>
      <c r="EB328" s="16110"/>
      <c r="EC328" s="16111"/>
      <c r="ED328" s="16111"/>
      <c r="EE328" s="16111"/>
      <c r="EF328" s="16111"/>
      <c r="EG328" s="16111"/>
      <c r="EH328" s="16111"/>
      <c r="EI328" s="16111"/>
      <c r="EJ328" s="16111"/>
      <c r="EK328" s="16111"/>
      <c r="EL328" s="16199"/>
      <c r="EM328" s="16110"/>
      <c r="EN328" s="16111"/>
      <c r="EO328" s="16111"/>
      <c r="EP328" s="16111"/>
      <c r="EQ328" s="16111"/>
      <c r="ER328" s="16111"/>
      <c r="ES328" s="16111"/>
      <c r="ET328" s="16111"/>
      <c r="EU328" s="16111"/>
      <c r="EV328" s="16111"/>
      <c r="EW328" s="16112"/>
      <c r="EX328" s="16112"/>
      <c r="EY328" s="10499" t="s">
        <v>666</v>
      </c>
      <c r="EZ328" s="10500"/>
      <c r="FA328" s="10501"/>
      <c r="FB328" s="10501" t="str">
        <f t="shared" si="5"/>
        <v>Наименование централизованной системы горячего водоснабжения</v>
      </c>
      <c r="FC328" s="10501"/>
      <c r="FD328" s="10501"/>
    </row>
    <row r="329" spans="1:160" s="15727" customFormat="1" ht="23.25" customHeight="1">
      <c r="A329" s="10490"/>
      <c r="B329" s="10490"/>
      <c r="C329" s="10490"/>
      <c r="D329" s="10490"/>
      <c r="E329" s="16125"/>
      <c r="F329" s="16125" t="s">
        <v>91</v>
      </c>
      <c r="G329" s="16125"/>
      <c r="H329" s="16125"/>
      <c r="I329" s="16122" t="str">
        <f>S328&amp;".1"</f>
        <v>3.7.1.1</v>
      </c>
      <c r="J329" s="10490"/>
      <c r="K329" s="10490"/>
      <c r="L329" s="10491"/>
      <c r="M329" s="10508"/>
      <c r="N329" s="10508"/>
      <c r="O329" s="10508"/>
      <c r="P329" s="16123">
        <v>1</v>
      </c>
      <c r="Q329" s="10509"/>
      <c r="R329" s="10510"/>
      <c r="S329" s="10496" t="str">
        <f>$I329</f>
        <v>3.7.1.1</v>
      </c>
      <c r="T329" s="10511" t="s">
        <v>618</v>
      </c>
      <c r="U329" s="10498"/>
      <c r="V329" s="16183"/>
      <c r="W329" s="16184"/>
      <c r="X329" s="16184"/>
      <c r="Y329" s="16184"/>
      <c r="Z329" s="16184"/>
      <c r="AA329" s="16184"/>
      <c r="AB329" s="16184"/>
      <c r="AC329" s="16184"/>
      <c r="AD329" s="16184"/>
      <c r="AE329" s="16184"/>
      <c r="AF329" s="16185"/>
      <c r="AG329" s="16186"/>
      <c r="AH329" s="16187"/>
      <c r="AI329" s="16187"/>
      <c r="AJ329" s="16187"/>
      <c r="AK329" s="16187"/>
      <c r="AL329" s="16187"/>
      <c r="AM329" s="16187"/>
      <c r="AN329" s="16187"/>
      <c r="AO329" s="16187"/>
      <c r="AP329" s="16187"/>
      <c r="AQ329" s="16187"/>
      <c r="AR329" s="16183"/>
      <c r="AS329" s="16184"/>
      <c r="AT329" s="16184"/>
      <c r="AU329" s="16184"/>
      <c r="AV329" s="16184"/>
      <c r="AW329" s="16184"/>
      <c r="AX329" s="16184"/>
      <c r="AY329" s="16184"/>
      <c r="AZ329" s="16184"/>
      <c r="BA329" s="16184"/>
      <c r="BB329" s="16185"/>
      <c r="BC329" s="16183"/>
      <c r="BD329" s="16184"/>
      <c r="BE329" s="16184"/>
      <c r="BF329" s="16184"/>
      <c r="BG329" s="16184"/>
      <c r="BH329" s="16184"/>
      <c r="BI329" s="16184"/>
      <c r="BJ329" s="16184"/>
      <c r="BK329" s="16184"/>
      <c r="BL329" s="16184"/>
      <c r="BM329" s="16185"/>
      <c r="BN329" s="16183"/>
      <c r="BO329" s="16184"/>
      <c r="BP329" s="16184"/>
      <c r="BQ329" s="16184"/>
      <c r="BR329" s="16184"/>
      <c r="BS329" s="16184"/>
      <c r="BT329" s="16184"/>
      <c r="BU329" s="16184"/>
      <c r="BV329" s="16184"/>
      <c r="BW329" s="16184"/>
      <c r="BX329" s="16185"/>
      <c r="BY329" s="16183"/>
      <c r="BZ329" s="16184"/>
      <c r="CA329" s="16184"/>
      <c r="CB329" s="16184"/>
      <c r="CC329" s="16184"/>
      <c r="CD329" s="16184"/>
      <c r="CE329" s="16184"/>
      <c r="CF329" s="16184"/>
      <c r="CG329" s="16184"/>
      <c r="CH329" s="16184"/>
      <c r="CI329" s="16185"/>
      <c r="CJ329" s="16183"/>
      <c r="CK329" s="16184"/>
      <c r="CL329" s="16184"/>
      <c r="CM329" s="16184"/>
      <c r="CN329" s="16184"/>
      <c r="CO329" s="16184"/>
      <c r="CP329" s="16184"/>
      <c r="CQ329" s="16184"/>
      <c r="CR329" s="16184"/>
      <c r="CS329" s="16184"/>
      <c r="CT329" s="16185"/>
      <c r="CU329" s="16183"/>
      <c r="CV329" s="16184"/>
      <c r="CW329" s="16184"/>
      <c r="CX329" s="16184"/>
      <c r="CY329" s="16184"/>
      <c r="CZ329" s="16184"/>
      <c r="DA329" s="16184"/>
      <c r="DB329" s="16184"/>
      <c r="DC329" s="16184"/>
      <c r="DD329" s="16184"/>
      <c r="DE329" s="16185"/>
      <c r="DF329" s="16183"/>
      <c r="DG329" s="16184"/>
      <c r="DH329" s="16184"/>
      <c r="DI329" s="16184"/>
      <c r="DJ329" s="16184"/>
      <c r="DK329" s="16184"/>
      <c r="DL329" s="16184"/>
      <c r="DM329" s="16184"/>
      <c r="DN329" s="16184"/>
      <c r="DO329" s="16184"/>
      <c r="DP329" s="16185"/>
      <c r="DQ329" s="16183"/>
      <c r="DR329" s="16184"/>
      <c r="DS329" s="16184"/>
      <c r="DT329" s="16184"/>
      <c r="DU329" s="16184"/>
      <c r="DV329" s="16184"/>
      <c r="DW329" s="16184"/>
      <c r="DX329" s="16184"/>
      <c r="DY329" s="16184"/>
      <c r="DZ329" s="16184"/>
      <c r="EA329" s="16185"/>
      <c r="EB329" s="16183"/>
      <c r="EC329" s="16184"/>
      <c r="ED329" s="16184"/>
      <c r="EE329" s="16184"/>
      <c r="EF329" s="16184"/>
      <c r="EG329" s="16184"/>
      <c r="EH329" s="16184"/>
      <c r="EI329" s="16184"/>
      <c r="EJ329" s="16184"/>
      <c r="EK329" s="16184"/>
      <c r="EL329" s="16200"/>
      <c r="EM329" s="16183"/>
      <c r="EN329" s="16184"/>
      <c r="EO329" s="16184"/>
      <c r="EP329" s="16184"/>
      <c r="EQ329" s="16184"/>
      <c r="ER329" s="16184"/>
      <c r="ES329" s="16184"/>
      <c r="ET329" s="16184"/>
      <c r="EU329" s="16184"/>
      <c r="EV329" s="16184"/>
      <c r="EW329" s="16185"/>
      <c r="EX329" s="16188"/>
      <c r="EY329" s="10499" t="s">
        <v>619</v>
      </c>
      <c r="EZ329" s="10500"/>
      <c r="FA329" s="10501"/>
      <c r="FB329" s="10501" t="str">
        <f t="shared" si="5"/>
        <v>Наименование признака дифференциации</v>
      </c>
      <c r="FC329" s="10501"/>
      <c r="FD329" s="10501"/>
    </row>
    <row r="330" spans="1:160" s="15728" customFormat="1" ht="23.25" customHeight="1">
      <c r="A330" s="10490"/>
      <c r="B330" s="10490"/>
      <c r="C330" s="10490"/>
      <c r="D330" s="10490"/>
      <c r="E330" s="16125"/>
      <c r="F330" s="16125" t="s">
        <v>91</v>
      </c>
      <c r="G330" s="16125"/>
      <c r="H330" s="16125"/>
      <c r="I330" s="16145"/>
      <c r="J330" s="16122" t="str">
        <f>I329&amp;".1"</f>
        <v>3.7.1.1.1</v>
      </c>
      <c r="K330" s="10490"/>
      <c r="L330" s="10491" t="s">
        <v>543</v>
      </c>
      <c r="M330" s="10508"/>
      <c r="N330" s="10508"/>
      <c r="O330" s="10508"/>
      <c r="P330" s="16123"/>
      <c r="Q330" s="16123">
        <v>1</v>
      </c>
      <c r="R330" s="10512"/>
      <c r="S330" s="10496" t="str">
        <f>$J330</f>
        <v>3.7.1.1.1</v>
      </c>
      <c r="T330" s="10513" t="s">
        <v>544</v>
      </c>
      <c r="U330" s="10498"/>
      <c r="V330" s="16113"/>
      <c r="W330" s="16114"/>
      <c r="X330" s="16114"/>
      <c r="Y330" s="16114"/>
      <c r="Z330" s="16114"/>
      <c r="AA330" s="16114"/>
      <c r="AB330" s="16114"/>
      <c r="AC330" s="16114"/>
      <c r="AD330" s="16114"/>
      <c r="AE330" s="16114"/>
      <c r="AF330" s="16115"/>
      <c r="AG330" s="16113" t="s">
        <v>679</v>
      </c>
      <c r="AH330" s="16114"/>
      <c r="AI330" s="16114"/>
      <c r="AJ330" s="16114"/>
      <c r="AK330" s="16114"/>
      <c r="AL330" s="16114"/>
      <c r="AM330" s="16114"/>
      <c r="AN330" s="16114"/>
      <c r="AO330" s="16114"/>
      <c r="AP330" s="16114"/>
      <c r="AQ330" s="16114"/>
      <c r="AR330" s="16113"/>
      <c r="AS330" s="16114"/>
      <c r="AT330" s="16114"/>
      <c r="AU330" s="16114"/>
      <c r="AV330" s="16114"/>
      <c r="AW330" s="16114"/>
      <c r="AX330" s="16114"/>
      <c r="AY330" s="16114"/>
      <c r="AZ330" s="16114"/>
      <c r="BA330" s="16114"/>
      <c r="BB330" s="16115"/>
      <c r="BC330" s="16113"/>
      <c r="BD330" s="16114"/>
      <c r="BE330" s="16114"/>
      <c r="BF330" s="16114"/>
      <c r="BG330" s="16114"/>
      <c r="BH330" s="16114"/>
      <c r="BI330" s="16114"/>
      <c r="BJ330" s="16114"/>
      <c r="BK330" s="16114"/>
      <c r="BL330" s="16114"/>
      <c r="BM330" s="16115"/>
      <c r="BN330" s="16113"/>
      <c r="BO330" s="16114"/>
      <c r="BP330" s="16114"/>
      <c r="BQ330" s="16114"/>
      <c r="BR330" s="16114"/>
      <c r="BS330" s="16114"/>
      <c r="BT330" s="16114"/>
      <c r="BU330" s="16114"/>
      <c r="BV330" s="16114"/>
      <c r="BW330" s="16114"/>
      <c r="BX330" s="16115"/>
      <c r="BY330" s="16113"/>
      <c r="BZ330" s="16114"/>
      <c r="CA330" s="16114"/>
      <c r="CB330" s="16114"/>
      <c r="CC330" s="16114"/>
      <c r="CD330" s="16114"/>
      <c r="CE330" s="16114"/>
      <c r="CF330" s="16114"/>
      <c r="CG330" s="16114"/>
      <c r="CH330" s="16114"/>
      <c r="CI330" s="16115"/>
      <c r="CJ330" s="16113"/>
      <c r="CK330" s="16114"/>
      <c r="CL330" s="16114"/>
      <c r="CM330" s="16114"/>
      <c r="CN330" s="16114"/>
      <c r="CO330" s="16114"/>
      <c r="CP330" s="16114"/>
      <c r="CQ330" s="16114"/>
      <c r="CR330" s="16114"/>
      <c r="CS330" s="16114"/>
      <c r="CT330" s="16115"/>
      <c r="CU330" s="16113"/>
      <c r="CV330" s="16114"/>
      <c r="CW330" s="16114"/>
      <c r="CX330" s="16114"/>
      <c r="CY330" s="16114"/>
      <c r="CZ330" s="16114"/>
      <c r="DA330" s="16114"/>
      <c r="DB330" s="16114"/>
      <c r="DC330" s="16114"/>
      <c r="DD330" s="16114"/>
      <c r="DE330" s="16115"/>
      <c r="DF330" s="16113"/>
      <c r="DG330" s="16114"/>
      <c r="DH330" s="16114"/>
      <c r="DI330" s="16114"/>
      <c r="DJ330" s="16114"/>
      <c r="DK330" s="16114"/>
      <c r="DL330" s="16114"/>
      <c r="DM330" s="16114"/>
      <c r="DN330" s="16114"/>
      <c r="DO330" s="16114"/>
      <c r="DP330" s="16115"/>
      <c r="DQ330" s="16113"/>
      <c r="DR330" s="16114"/>
      <c r="DS330" s="16114"/>
      <c r="DT330" s="16114"/>
      <c r="DU330" s="16114"/>
      <c r="DV330" s="16114"/>
      <c r="DW330" s="16114"/>
      <c r="DX330" s="16114"/>
      <c r="DY330" s="16114"/>
      <c r="DZ330" s="16114"/>
      <c r="EA330" s="16115"/>
      <c r="EB330" s="16113"/>
      <c r="EC330" s="16114"/>
      <c r="ED330" s="16114"/>
      <c r="EE330" s="16114"/>
      <c r="EF330" s="16114"/>
      <c r="EG330" s="16114"/>
      <c r="EH330" s="16114"/>
      <c r="EI330" s="16114"/>
      <c r="EJ330" s="16114"/>
      <c r="EK330" s="16114"/>
      <c r="EL330" s="16201"/>
      <c r="EM330" s="16113"/>
      <c r="EN330" s="16114"/>
      <c r="EO330" s="16114"/>
      <c r="EP330" s="16114"/>
      <c r="EQ330" s="16114"/>
      <c r="ER330" s="16114"/>
      <c r="ES330" s="16114"/>
      <c r="ET330" s="16114"/>
      <c r="EU330" s="16114"/>
      <c r="EV330" s="16114"/>
      <c r="EW330" s="16115"/>
      <c r="EX330" s="16115"/>
      <c r="EY330" s="10514" t="s">
        <v>620</v>
      </c>
      <c r="EZ330" s="10500"/>
      <c r="FA330" s="10501"/>
      <c r="FB330" s="10501" t="str">
        <f t="shared" si="5"/>
        <v>Группа потребителей</v>
      </c>
      <c r="FC330" s="10501"/>
      <c r="FD330" s="10501"/>
    </row>
    <row r="331" spans="1:160" s="15729" customFormat="1" ht="23.25" customHeight="1">
      <c r="A331" s="10490"/>
      <c r="B331" s="10490"/>
      <c r="C331" s="10490"/>
      <c r="D331" s="10490"/>
      <c r="E331" s="16125"/>
      <c r="F331" s="16125" t="s">
        <v>91</v>
      </c>
      <c r="G331" s="16125"/>
      <c r="H331" s="16125"/>
      <c r="I331" s="16145"/>
      <c r="J331" s="16145"/>
      <c r="K331" s="16122" t="str">
        <f>J330&amp;".1"</f>
        <v>3.7.1.1.1.1</v>
      </c>
      <c r="L331" s="10491"/>
      <c r="M331" s="10508"/>
      <c r="N331" s="10508"/>
      <c r="O331" s="10508"/>
      <c r="P331" s="16123"/>
      <c r="Q331" s="16123"/>
      <c r="R331" s="10512">
        <v>1</v>
      </c>
      <c r="S331" s="10496" t="str">
        <f>$K331</f>
        <v>3.7.1.1.1.1</v>
      </c>
      <c r="T331" s="10515"/>
      <c r="U331" s="10498"/>
      <c r="V331" s="10516"/>
      <c r="W331" s="10516"/>
      <c r="X331" s="10516"/>
      <c r="Y331" s="10516"/>
      <c r="Z331" s="10516"/>
      <c r="AA331" s="10516"/>
      <c r="AB331" s="10516"/>
      <c r="AC331" s="16127"/>
      <c r="AD331" s="15973" t="s">
        <v>66</v>
      </c>
      <c r="AE331" s="16127"/>
      <c r="AF331" s="15973" t="s">
        <v>66</v>
      </c>
      <c r="AG331" s="10516">
        <v>43.01</v>
      </c>
      <c r="AH331" s="10516"/>
      <c r="AI331" s="10516"/>
      <c r="AJ331" s="10516"/>
      <c r="AK331" s="10516">
        <v>5211.17</v>
      </c>
      <c r="AL331" s="10516"/>
      <c r="AM331" s="10516"/>
      <c r="AN331" s="16127">
        <v>45292</v>
      </c>
      <c r="AO331" s="15973" t="s">
        <v>66</v>
      </c>
      <c r="AP331" s="16146">
        <v>45378</v>
      </c>
      <c r="AQ331" s="15973" t="s">
        <v>66</v>
      </c>
      <c r="AR331" s="10516">
        <v>43.01</v>
      </c>
      <c r="AS331" s="10516"/>
      <c r="AT331" s="10516"/>
      <c r="AU331" s="10516"/>
      <c r="AV331" s="10516">
        <v>5211.17</v>
      </c>
      <c r="AW331" s="10516"/>
      <c r="AX331" s="10516"/>
      <c r="AY331" s="16127">
        <v>45379</v>
      </c>
      <c r="AZ331" s="15973" t="s">
        <v>66</v>
      </c>
      <c r="BA331" s="16127">
        <v>45473</v>
      </c>
      <c r="BB331" s="15973" t="s">
        <v>66</v>
      </c>
      <c r="BC331" s="10516">
        <v>51.74</v>
      </c>
      <c r="BD331" s="10516"/>
      <c r="BE331" s="10516"/>
      <c r="BF331" s="10516"/>
      <c r="BG331" s="10516">
        <v>5655.37</v>
      </c>
      <c r="BH331" s="10516"/>
      <c r="BI331" s="10516"/>
      <c r="BJ331" s="16127">
        <v>45474</v>
      </c>
      <c r="BK331" s="15973" t="s">
        <v>66</v>
      </c>
      <c r="BL331" s="16127">
        <v>45657</v>
      </c>
      <c r="BM331" s="15973" t="s">
        <v>66</v>
      </c>
      <c r="BN331" s="10516">
        <v>48.75</v>
      </c>
      <c r="BO331" s="10516"/>
      <c r="BP331" s="10516"/>
      <c r="BQ331" s="10516"/>
      <c r="BR331" s="10516">
        <v>5407.73</v>
      </c>
      <c r="BS331" s="10516"/>
      <c r="BT331" s="10516"/>
      <c r="BU331" s="16127">
        <v>45658</v>
      </c>
      <c r="BV331" s="15973" t="s">
        <v>66</v>
      </c>
      <c r="BW331" s="16127">
        <v>45838</v>
      </c>
      <c r="BX331" s="15973" t="s">
        <v>66</v>
      </c>
      <c r="BY331" s="10516">
        <v>48.75</v>
      </c>
      <c r="BZ331" s="10516"/>
      <c r="CA331" s="10516"/>
      <c r="CB331" s="10516"/>
      <c r="CC331" s="10516">
        <v>5407.73</v>
      </c>
      <c r="CD331" s="10516"/>
      <c r="CE331" s="10516"/>
      <c r="CF331" s="16127">
        <v>45839</v>
      </c>
      <c r="CG331" s="15973" t="s">
        <v>66</v>
      </c>
      <c r="CH331" s="16127">
        <v>46022</v>
      </c>
      <c r="CI331" s="15973" t="s">
        <v>66</v>
      </c>
      <c r="CJ331" s="10516">
        <v>48.75</v>
      </c>
      <c r="CK331" s="10516"/>
      <c r="CL331" s="10516"/>
      <c r="CM331" s="10516"/>
      <c r="CN331" s="10516">
        <v>5407.73</v>
      </c>
      <c r="CO331" s="10516"/>
      <c r="CP331" s="10516"/>
      <c r="CQ331" s="16127">
        <v>46023</v>
      </c>
      <c r="CR331" s="15973" t="s">
        <v>66</v>
      </c>
      <c r="CS331" s="16127">
        <v>46203</v>
      </c>
      <c r="CT331" s="15973" t="s">
        <v>66</v>
      </c>
      <c r="CU331" s="10516">
        <v>51.7</v>
      </c>
      <c r="CV331" s="10516"/>
      <c r="CW331" s="10516"/>
      <c r="CX331" s="10516"/>
      <c r="CY331" s="10516">
        <v>5624.04</v>
      </c>
      <c r="CZ331" s="10516"/>
      <c r="DA331" s="10516"/>
      <c r="DB331" s="16127">
        <v>46204</v>
      </c>
      <c r="DC331" s="15973" t="s">
        <v>66</v>
      </c>
      <c r="DD331" s="16127">
        <v>46387</v>
      </c>
      <c r="DE331" s="15973" t="s">
        <v>66</v>
      </c>
      <c r="DF331" s="10516">
        <v>51.7</v>
      </c>
      <c r="DG331" s="10516"/>
      <c r="DH331" s="10516"/>
      <c r="DI331" s="10516"/>
      <c r="DJ331" s="10516">
        <v>5624.04</v>
      </c>
      <c r="DK331" s="10516"/>
      <c r="DL331" s="10516"/>
      <c r="DM331" s="16127">
        <v>46388</v>
      </c>
      <c r="DN331" s="15973" t="s">
        <v>66</v>
      </c>
      <c r="DO331" s="16127">
        <v>46568</v>
      </c>
      <c r="DP331" s="15973" t="s">
        <v>66</v>
      </c>
      <c r="DQ331" s="10516">
        <v>53.77</v>
      </c>
      <c r="DR331" s="10516"/>
      <c r="DS331" s="10516"/>
      <c r="DT331" s="10516"/>
      <c r="DU331" s="10516">
        <v>5738.83</v>
      </c>
      <c r="DV331" s="10516"/>
      <c r="DW331" s="10516"/>
      <c r="DX331" s="16127">
        <v>46569</v>
      </c>
      <c r="DY331" s="15973" t="s">
        <v>66</v>
      </c>
      <c r="DZ331" s="16127">
        <v>46752</v>
      </c>
      <c r="EA331" s="15973" t="s">
        <v>66</v>
      </c>
      <c r="EB331" s="10516">
        <v>53.77</v>
      </c>
      <c r="EC331" s="10516"/>
      <c r="ED331" s="10516"/>
      <c r="EE331" s="10516"/>
      <c r="EF331" s="10516">
        <v>5738.83</v>
      </c>
      <c r="EG331" s="10516"/>
      <c r="EH331" s="10516"/>
      <c r="EI331" s="16127">
        <v>46753</v>
      </c>
      <c r="EJ331" s="15973" t="s">
        <v>66</v>
      </c>
      <c r="EK331" s="16127">
        <v>46934</v>
      </c>
      <c r="EL331" s="16202" t="s">
        <v>66</v>
      </c>
      <c r="EM331" s="14448">
        <v>55.92</v>
      </c>
      <c r="EN331" s="14448"/>
      <c r="EO331" s="14448"/>
      <c r="EP331" s="14448"/>
      <c r="EQ331" s="14448">
        <v>5930.43</v>
      </c>
      <c r="ER331" s="14448"/>
      <c r="ES331" s="14448"/>
      <c r="ET331" s="16127">
        <v>46935</v>
      </c>
      <c r="EU331" s="15973" t="s">
        <v>66</v>
      </c>
      <c r="EV331" s="16127">
        <v>47118</v>
      </c>
      <c r="EW331" s="15973" t="s">
        <v>66</v>
      </c>
      <c r="EX331" s="10517"/>
      <c r="EY33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331" s="10500" t="e">
        <f ca="1">STRCHECKDATE(V332:EX332)</f>
        <v>#NAME?</v>
      </c>
      <c r="FA331" s="10501"/>
      <c r="FB331" s="10501" t="str">
        <f t="shared" si="5"/>
        <v/>
      </c>
      <c r="FC331" s="10501"/>
      <c r="FD331" s="10501"/>
    </row>
    <row r="332" spans="1:160" s="15730" customFormat="1" ht="14.25" customHeight="1">
      <c r="A332" s="10490"/>
      <c r="B332" s="10490"/>
      <c r="C332" s="10490"/>
      <c r="D332" s="10490"/>
      <c r="E332" s="16125"/>
      <c r="F332" s="16125" t="s">
        <v>91</v>
      </c>
      <c r="G332" s="16125"/>
      <c r="H332" s="16125"/>
      <c r="I332" s="16145"/>
      <c r="J332" s="16145"/>
      <c r="K332" s="16122"/>
      <c r="L332" s="10491"/>
      <c r="M332" s="10508"/>
      <c r="N332" s="10508"/>
      <c r="O332" s="10508"/>
      <c r="P332" s="16123"/>
      <c r="Q332" s="16123"/>
      <c r="R332" s="10512"/>
      <c r="S332" s="10518"/>
      <c r="T332" s="10498"/>
      <c r="U332" s="10498"/>
      <c r="V332" s="10519"/>
      <c r="W332" s="10519"/>
      <c r="X332" s="10519"/>
      <c r="Y332" s="10519"/>
      <c r="Z332" s="10519"/>
      <c r="AA332" s="10519"/>
      <c r="AB332" s="10519"/>
      <c r="AC332" s="16128"/>
      <c r="AD332" s="15973"/>
      <c r="AE332" s="16128"/>
      <c r="AF332" s="15973"/>
      <c r="AG332" s="10519"/>
      <c r="AH332" s="10519"/>
      <c r="AI332" s="10519"/>
      <c r="AJ332" s="10519"/>
      <c r="AK332" s="10519"/>
      <c r="AL332" s="10519"/>
      <c r="AM332" s="10519"/>
      <c r="AN332" s="16128"/>
      <c r="AO332" s="15973"/>
      <c r="AP332" s="16147"/>
      <c r="AQ332" s="15973"/>
      <c r="AR332" s="10519"/>
      <c r="AS332" s="10519"/>
      <c r="AT332" s="10519"/>
      <c r="AU332" s="10519"/>
      <c r="AV332" s="10519"/>
      <c r="AW332" s="10519"/>
      <c r="AX332" s="10519"/>
      <c r="AY332" s="16128"/>
      <c r="AZ332" s="15973"/>
      <c r="BA332" s="16128"/>
      <c r="BB332" s="15973"/>
      <c r="BC332" s="10519"/>
      <c r="BD332" s="10519"/>
      <c r="BE332" s="10519"/>
      <c r="BF332" s="10519"/>
      <c r="BG332" s="10519"/>
      <c r="BH332" s="10519"/>
      <c r="BI332" s="10519"/>
      <c r="BJ332" s="16128"/>
      <c r="BK332" s="15973"/>
      <c r="BL332" s="16128"/>
      <c r="BM332" s="15973"/>
      <c r="BN332" s="10519"/>
      <c r="BO332" s="10519"/>
      <c r="BP332" s="10519"/>
      <c r="BQ332" s="10519"/>
      <c r="BR332" s="10519"/>
      <c r="BS332" s="10519"/>
      <c r="BT332" s="10519"/>
      <c r="BU332" s="16128"/>
      <c r="BV332" s="15973"/>
      <c r="BW332" s="16128"/>
      <c r="BX332" s="15973"/>
      <c r="BY332" s="10519"/>
      <c r="BZ332" s="10519"/>
      <c r="CA332" s="10519"/>
      <c r="CB332" s="10519"/>
      <c r="CC332" s="10519"/>
      <c r="CD332" s="10519"/>
      <c r="CE332" s="10519"/>
      <c r="CF332" s="16128"/>
      <c r="CG332" s="15973"/>
      <c r="CH332" s="16128"/>
      <c r="CI332" s="15973"/>
      <c r="CJ332" s="10519"/>
      <c r="CK332" s="10519"/>
      <c r="CL332" s="10519"/>
      <c r="CM332" s="10519"/>
      <c r="CN332" s="10519"/>
      <c r="CO332" s="10519"/>
      <c r="CP332" s="10519"/>
      <c r="CQ332" s="16128"/>
      <c r="CR332" s="15973"/>
      <c r="CS332" s="16128"/>
      <c r="CT332" s="15973"/>
      <c r="CU332" s="10519"/>
      <c r="CV332" s="10519"/>
      <c r="CW332" s="10519"/>
      <c r="CX332" s="10519"/>
      <c r="CY332" s="10519"/>
      <c r="CZ332" s="10519"/>
      <c r="DA332" s="10519"/>
      <c r="DB332" s="16128"/>
      <c r="DC332" s="15973"/>
      <c r="DD332" s="16128"/>
      <c r="DE332" s="15973"/>
      <c r="DF332" s="10519"/>
      <c r="DG332" s="10519"/>
      <c r="DH332" s="10519"/>
      <c r="DI332" s="10519"/>
      <c r="DJ332" s="10519"/>
      <c r="DK332" s="10519"/>
      <c r="DL332" s="10519"/>
      <c r="DM332" s="16128"/>
      <c r="DN332" s="15973"/>
      <c r="DO332" s="16128"/>
      <c r="DP332" s="15973"/>
      <c r="DQ332" s="10519"/>
      <c r="DR332" s="10519"/>
      <c r="DS332" s="10519"/>
      <c r="DT332" s="10519"/>
      <c r="DU332" s="10519"/>
      <c r="DV332" s="10519"/>
      <c r="DW332" s="10519"/>
      <c r="DX332" s="16128"/>
      <c r="DY332" s="15973"/>
      <c r="DZ332" s="16128"/>
      <c r="EA332" s="15973"/>
      <c r="EB332" s="10519"/>
      <c r="EC332" s="10519"/>
      <c r="ED332" s="10519"/>
      <c r="EE332" s="10519"/>
      <c r="EF332" s="10519"/>
      <c r="EG332" s="10519"/>
      <c r="EH332" s="10519"/>
      <c r="EI332" s="16128"/>
      <c r="EJ332" s="15973"/>
      <c r="EK332" s="16128"/>
      <c r="EL332" s="16202"/>
      <c r="EM332" s="14449"/>
      <c r="EN332" s="14449"/>
      <c r="EO332" s="14449"/>
      <c r="EP332" s="14449"/>
      <c r="EQ332" s="14449"/>
      <c r="ER332" s="14449"/>
      <c r="ES332" s="14449"/>
      <c r="ET332" s="16128"/>
      <c r="EU332" s="15973"/>
      <c r="EV332" s="16128"/>
      <c r="EW332" s="15973"/>
      <c r="EX332" s="10520"/>
      <c r="EY332" s="16182"/>
      <c r="EZ332" s="10500"/>
      <c r="FA332" s="10501"/>
      <c r="FB332" s="10501" t="str">
        <f t="shared" si="5"/>
        <v/>
      </c>
      <c r="FC332" s="10501"/>
      <c r="FD332" s="10501"/>
    </row>
    <row r="333" spans="1:160" s="15731" customFormat="1" ht="21" customHeight="1">
      <c r="A333" s="10490"/>
      <c r="B333" s="10490"/>
      <c r="C333" s="10490"/>
      <c r="D333" s="10490"/>
      <c r="E333" s="16125"/>
      <c r="F333" s="16125" t="s">
        <v>91</v>
      </c>
      <c r="G333" s="16125"/>
      <c r="H333" s="16125"/>
      <c r="I333" s="16145"/>
      <c r="J333" s="16122"/>
      <c r="K333" s="10490"/>
      <c r="L333" s="10491"/>
      <c r="M333" s="10508"/>
      <c r="N333" s="10508"/>
      <c r="O333" s="10508"/>
      <c r="P333" s="16123"/>
      <c r="Q333" s="16123"/>
      <c r="R333" s="10510"/>
      <c r="S333" s="13171"/>
      <c r="T333" s="13172" t="s">
        <v>621</v>
      </c>
      <c r="U333" s="13173"/>
      <c r="V333" s="13174"/>
      <c r="W333" s="13175"/>
      <c r="X333" s="13176"/>
      <c r="Y333" s="13177"/>
      <c r="Z333" s="13178"/>
      <c r="AA333" s="13179"/>
      <c r="AB333" s="13180"/>
      <c r="AC333" s="13181"/>
      <c r="AD333" s="13182"/>
      <c r="AE333" s="13183"/>
      <c r="AF333" s="13184"/>
      <c r="AG333" s="13185"/>
      <c r="AH333" s="13186"/>
      <c r="AI333" s="13187"/>
      <c r="AJ333" s="13188"/>
      <c r="AK333" s="13189"/>
      <c r="AL333" s="13190"/>
      <c r="AM333" s="13191"/>
      <c r="AN333" s="13192"/>
      <c r="AO333" s="13193"/>
      <c r="AP333" s="13194"/>
      <c r="AQ333" s="13195"/>
      <c r="AR333" s="13196"/>
      <c r="AS333" s="13197"/>
      <c r="AT333" s="13198"/>
      <c r="AU333" s="13199"/>
      <c r="AV333" s="13200"/>
      <c r="AW333" s="13201"/>
      <c r="AX333" s="13202"/>
      <c r="AY333" s="13203"/>
      <c r="AZ333" s="13204"/>
      <c r="BA333" s="13205"/>
      <c r="BB333" s="13206"/>
      <c r="BC333" s="13207"/>
      <c r="BD333" s="13208"/>
      <c r="BE333" s="13209"/>
      <c r="BF333" s="13210"/>
      <c r="BG333" s="13211"/>
      <c r="BH333" s="13212"/>
      <c r="BI333" s="13213"/>
      <c r="BJ333" s="13214"/>
      <c r="BK333" s="13215"/>
      <c r="BL333" s="13216"/>
      <c r="BM333" s="13217"/>
      <c r="BN333" s="13218"/>
      <c r="BO333" s="13219"/>
      <c r="BP333" s="13220"/>
      <c r="BQ333" s="13221"/>
      <c r="BR333" s="13222"/>
      <c r="BS333" s="13223"/>
      <c r="BT333" s="13224"/>
      <c r="BU333" s="13225"/>
      <c r="BV333" s="13226"/>
      <c r="BW333" s="13227"/>
      <c r="BX333" s="13228"/>
      <c r="BY333" s="13229"/>
      <c r="BZ333" s="13230"/>
      <c r="CA333" s="13231"/>
      <c r="CB333" s="13232"/>
      <c r="CC333" s="13233"/>
      <c r="CD333" s="13234"/>
      <c r="CE333" s="13235"/>
      <c r="CF333" s="13236"/>
      <c r="CG333" s="13237"/>
      <c r="CH333" s="13238"/>
      <c r="CI333" s="13239"/>
      <c r="CJ333" s="13240"/>
      <c r="CK333" s="13241"/>
      <c r="CL333" s="13242"/>
      <c r="CM333" s="13243"/>
      <c r="CN333" s="13244"/>
      <c r="CO333" s="13245"/>
      <c r="CP333" s="13246"/>
      <c r="CQ333" s="13247"/>
      <c r="CR333" s="13248"/>
      <c r="CS333" s="13249"/>
      <c r="CT333" s="13250"/>
      <c r="CU333" s="13251"/>
      <c r="CV333" s="13252"/>
      <c r="CW333" s="13253"/>
      <c r="CX333" s="13254"/>
      <c r="CY333" s="13255"/>
      <c r="CZ333" s="13256"/>
      <c r="DA333" s="13257"/>
      <c r="DB333" s="13258"/>
      <c r="DC333" s="13259"/>
      <c r="DD333" s="13260"/>
      <c r="DE333" s="13261"/>
      <c r="DF333" s="13262"/>
      <c r="DG333" s="13263"/>
      <c r="DH333" s="13264"/>
      <c r="DI333" s="13265"/>
      <c r="DJ333" s="13266"/>
      <c r="DK333" s="13267"/>
      <c r="DL333" s="13268"/>
      <c r="DM333" s="13269"/>
      <c r="DN333" s="13270"/>
      <c r="DO333" s="13271"/>
      <c r="DP333" s="13272"/>
      <c r="DQ333" s="13273"/>
      <c r="DR333" s="13274"/>
      <c r="DS333" s="13275"/>
      <c r="DT333" s="13276"/>
      <c r="DU333" s="13277"/>
      <c r="DV333" s="13278"/>
      <c r="DW333" s="13279"/>
      <c r="DX333" s="13280"/>
      <c r="DY333" s="13281"/>
      <c r="DZ333" s="13282"/>
      <c r="EA333" s="13283"/>
      <c r="EB333" s="13284"/>
      <c r="EC333" s="13285"/>
      <c r="ED333" s="13286"/>
      <c r="EE333" s="13287"/>
      <c r="EF333" s="13288"/>
      <c r="EG333" s="13289"/>
      <c r="EH333" s="13290"/>
      <c r="EI333" s="13291"/>
      <c r="EJ333" s="13292"/>
      <c r="EK333" s="13293"/>
      <c r="EL333" s="13294"/>
      <c r="EM333" s="15732"/>
      <c r="EN333" s="15733"/>
      <c r="EO333" s="15734"/>
      <c r="EP333" s="15735"/>
      <c r="EQ333" s="15736"/>
      <c r="ER333" s="15737"/>
      <c r="ES333" s="15738"/>
      <c r="ET333" s="15739"/>
      <c r="EU333" s="15740"/>
      <c r="EV333" s="15741"/>
      <c r="EW333" s="15742"/>
      <c r="EX333" s="13295"/>
      <c r="EY333" s="10499" t="s">
        <v>622</v>
      </c>
      <c r="EZ333" s="10500"/>
      <c r="FA333" s="10501"/>
      <c r="FB333" s="10501" t="str">
        <f t="shared" si="5"/>
        <v>Добавить значение признака дифференциации</v>
      </c>
      <c r="FC333" s="10501"/>
      <c r="FD333" s="10501"/>
    </row>
    <row r="334" spans="1:160" s="15743" customFormat="1" ht="21" customHeight="1">
      <c r="A334" s="10490"/>
      <c r="B334" s="10490"/>
      <c r="C334" s="10490"/>
      <c r="D334" s="10490"/>
      <c r="E334" s="16125"/>
      <c r="F334" s="16125" t="s">
        <v>91</v>
      </c>
      <c r="G334" s="16125"/>
      <c r="H334" s="16125"/>
      <c r="I334" s="16122"/>
      <c r="J334" s="10490"/>
      <c r="K334" s="10490"/>
      <c r="L334" s="10491"/>
      <c r="M334" s="10508"/>
      <c r="N334" s="10508"/>
      <c r="O334" s="10508"/>
      <c r="P334" s="16123"/>
      <c r="Q334" s="10509"/>
      <c r="R334" s="10510"/>
      <c r="S334" s="13296"/>
      <c r="T334" s="13297" t="s">
        <v>549</v>
      </c>
      <c r="U334" s="13298"/>
      <c r="V334" s="13299"/>
      <c r="W334" s="13300"/>
      <c r="X334" s="13301"/>
      <c r="Y334" s="13302"/>
      <c r="Z334" s="13303"/>
      <c r="AA334" s="13304"/>
      <c r="AB334" s="13305"/>
      <c r="AC334" s="13306"/>
      <c r="AD334" s="13307"/>
      <c r="AE334" s="13308"/>
      <c r="AF334" s="13309"/>
      <c r="AG334" s="13310"/>
      <c r="AH334" s="13311"/>
      <c r="AI334" s="13312"/>
      <c r="AJ334" s="13313"/>
      <c r="AK334" s="13314"/>
      <c r="AL334" s="13315"/>
      <c r="AM334" s="13316"/>
      <c r="AN334" s="13317"/>
      <c r="AO334" s="13318"/>
      <c r="AP334" s="13319"/>
      <c r="AQ334" s="13320"/>
      <c r="AR334" s="13321"/>
      <c r="AS334" s="13322"/>
      <c r="AT334" s="13323"/>
      <c r="AU334" s="13324"/>
      <c r="AV334" s="13325"/>
      <c r="AW334" s="13326"/>
      <c r="AX334" s="13327"/>
      <c r="AY334" s="13328"/>
      <c r="AZ334" s="13329"/>
      <c r="BA334" s="13330"/>
      <c r="BB334" s="13331"/>
      <c r="BC334" s="13332"/>
      <c r="BD334" s="13333"/>
      <c r="BE334" s="13334"/>
      <c r="BF334" s="13335"/>
      <c r="BG334" s="13336"/>
      <c r="BH334" s="13337"/>
      <c r="BI334" s="13338"/>
      <c r="BJ334" s="13339"/>
      <c r="BK334" s="13340"/>
      <c r="BL334" s="13341"/>
      <c r="BM334" s="13342"/>
      <c r="BN334" s="13343"/>
      <c r="BO334" s="13344"/>
      <c r="BP334" s="13345"/>
      <c r="BQ334" s="13346"/>
      <c r="BR334" s="13347"/>
      <c r="BS334" s="13348"/>
      <c r="BT334" s="13349"/>
      <c r="BU334" s="13350"/>
      <c r="BV334" s="13351"/>
      <c r="BW334" s="13352"/>
      <c r="BX334" s="13353"/>
      <c r="BY334" s="13354"/>
      <c r="BZ334" s="13355"/>
      <c r="CA334" s="13356"/>
      <c r="CB334" s="13357"/>
      <c r="CC334" s="13358"/>
      <c r="CD334" s="13359"/>
      <c r="CE334" s="13360"/>
      <c r="CF334" s="13361"/>
      <c r="CG334" s="13362"/>
      <c r="CH334" s="13363"/>
      <c r="CI334" s="13364"/>
      <c r="CJ334" s="13365"/>
      <c r="CK334" s="13366"/>
      <c r="CL334" s="13367"/>
      <c r="CM334" s="13368"/>
      <c r="CN334" s="13369"/>
      <c r="CO334" s="13370"/>
      <c r="CP334" s="13371"/>
      <c r="CQ334" s="13372"/>
      <c r="CR334" s="13373"/>
      <c r="CS334" s="13374"/>
      <c r="CT334" s="13375"/>
      <c r="CU334" s="13376"/>
      <c r="CV334" s="13377"/>
      <c r="CW334" s="13378"/>
      <c r="CX334" s="13379"/>
      <c r="CY334" s="13380"/>
      <c r="CZ334" s="13381"/>
      <c r="DA334" s="13382"/>
      <c r="DB334" s="13383"/>
      <c r="DC334" s="13384"/>
      <c r="DD334" s="13385"/>
      <c r="DE334" s="13386"/>
      <c r="DF334" s="13387"/>
      <c r="DG334" s="13388"/>
      <c r="DH334" s="13389"/>
      <c r="DI334" s="13390"/>
      <c r="DJ334" s="13391"/>
      <c r="DK334" s="13392"/>
      <c r="DL334" s="13393"/>
      <c r="DM334" s="13394"/>
      <c r="DN334" s="13395"/>
      <c r="DO334" s="13396"/>
      <c r="DP334" s="13397"/>
      <c r="DQ334" s="13398"/>
      <c r="DR334" s="13399"/>
      <c r="DS334" s="13400"/>
      <c r="DT334" s="13401"/>
      <c r="DU334" s="13402"/>
      <c r="DV334" s="13403"/>
      <c r="DW334" s="13404"/>
      <c r="DX334" s="13405"/>
      <c r="DY334" s="13406"/>
      <c r="DZ334" s="13407"/>
      <c r="EA334" s="13408"/>
      <c r="EB334" s="13409"/>
      <c r="EC334" s="13410"/>
      <c r="ED334" s="13411"/>
      <c r="EE334" s="13412"/>
      <c r="EF334" s="13413"/>
      <c r="EG334" s="13414"/>
      <c r="EH334" s="13415"/>
      <c r="EI334" s="13416"/>
      <c r="EJ334" s="13417"/>
      <c r="EK334" s="13418"/>
      <c r="EL334" s="13419"/>
      <c r="EM334" s="15744"/>
      <c r="EN334" s="15745"/>
      <c r="EO334" s="15746"/>
      <c r="EP334" s="15747"/>
      <c r="EQ334" s="15748"/>
      <c r="ER334" s="15749"/>
      <c r="ES334" s="15750"/>
      <c r="ET334" s="15751"/>
      <c r="EU334" s="15752"/>
      <c r="EV334" s="15753"/>
      <c r="EW334" s="15754"/>
      <c r="EX334" s="13420"/>
      <c r="EY334" s="13421"/>
      <c r="EZ334" s="10500"/>
      <c r="FA334" s="10501"/>
      <c r="FB334" s="10501" t="str">
        <f t="shared" si="5"/>
        <v>Добавить группу потребителей</v>
      </c>
      <c r="FC334" s="10501"/>
      <c r="FD334" s="10501"/>
    </row>
    <row r="335" spans="1:160" s="15755" customFormat="1" ht="21" customHeight="1">
      <c r="A335" s="10490"/>
      <c r="B335" s="10490"/>
      <c r="C335" s="10490"/>
      <c r="D335" s="10490"/>
      <c r="E335" s="16125"/>
      <c r="F335" s="16125" t="s">
        <v>91</v>
      </c>
      <c r="G335" s="16125"/>
      <c r="H335" s="16124"/>
      <c r="I335" s="10490"/>
      <c r="J335" s="10490"/>
      <c r="K335" s="10490"/>
      <c r="L335" s="10491"/>
      <c r="M335" s="10492"/>
      <c r="N335" s="10492"/>
      <c r="O335" s="10772"/>
      <c r="P335" s="10494"/>
      <c r="Q335" s="10773"/>
      <c r="R335" s="10495"/>
      <c r="S335" s="13422"/>
      <c r="T335" s="13423" t="s">
        <v>623</v>
      </c>
      <c r="U335" s="13424"/>
      <c r="V335" s="13425"/>
      <c r="W335" s="13426"/>
      <c r="X335" s="13427"/>
      <c r="Y335" s="13428"/>
      <c r="Z335" s="13429"/>
      <c r="AA335" s="13430"/>
      <c r="AB335" s="13431"/>
      <c r="AC335" s="13432"/>
      <c r="AD335" s="13433"/>
      <c r="AE335" s="13434"/>
      <c r="AF335" s="13435"/>
      <c r="AG335" s="13436"/>
      <c r="AH335" s="13437"/>
      <c r="AI335" s="13438"/>
      <c r="AJ335" s="13439"/>
      <c r="AK335" s="13440"/>
      <c r="AL335" s="13441"/>
      <c r="AM335" s="13442"/>
      <c r="AN335" s="13443"/>
      <c r="AO335" s="13444"/>
      <c r="AP335" s="13445"/>
      <c r="AQ335" s="13446"/>
      <c r="AR335" s="13447"/>
      <c r="AS335" s="13448"/>
      <c r="AT335" s="13449"/>
      <c r="AU335" s="13450"/>
      <c r="AV335" s="13451"/>
      <c r="AW335" s="13452"/>
      <c r="AX335" s="13453"/>
      <c r="AY335" s="13454"/>
      <c r="AZ335" s="13455"/>
      <c r="BA335" s="13456"/>
      <c r="BB335" s="13457"/>
      <c r="BC335" s="13458"/>
      <c r="BD335" s="13459"/>
      <c r="BE335" s="13460"/>
      <c r="BF335" s="13461"/>
      <c r="BG335" s="13462"/>
      <c r="BH335" s="13463"/>
      <c r="BI335" s="13464"/>
      <c r="BJ335" s="13465"/>
      <c r="BK335" s="13466"/>
      <c r="BL335" s="13467"/>
      <c r="BM335" s="13468"/>
      <c r="BN335" s="13469"/>
      <c r="BO335" s="13470"/>
      <c r="BP335" s="13471"/>
      <c r="BQ335" s="13472"/>
      <c r="BR335" s="13473"/>
      <c r="BS335" s="13474"/>
      <c r="BT335" s="13475"/>
      <c r="BU335" s="13476"/>
      <c r="BV335" s="13477"/>
      <c r="BW335" s="13478"/>
      <c r="BX335" s="13479"/>
      <c r="BY335" s="13480"/>
      <c r="BZ335" s="13481"/>
      <c r="CA335" s="13482"/>
      <c r="CB335" s="13483"/>
      <c r="CC335" s="13484"/>
      <c r="CD335" s="13485"/>
      <c r="CE335" s="13486"/>
      <c r="CF335" s="13487"/>
      <c r="CG335" s="13488"/>
      <c r="CH335" s="13489"/>
      <c r="CI335" s="13490"/>
      <c r="CJ335" s="13491"/>
      <c r="CK335" s="13492"/>
      <c r="CL335" s="13493"/>
      <c r="CM335" s="13494"/>
      <c r="CN335" s="13495"/>
      <c r="CO335" s="13496"/>
      <c r="CP335" s="13497"/>
      <c r="CQ335" s="13498"/>
      <c r="CR335" s="13499"/>
      <c r="CS335" s="13500"/>
      <c r="CT335" s="13501"/>
      <c r="CU335" s="13502"/>
      <c r="CV335" s="13503"/>
      <c r="CW335" s="13504"/>
      <c r="CX335" s="13505"/>
      <c r="CY335" s="13506"/>
      <c r="CZ335" s="13507"/>
      <c r="DA335" s="13508"/>
      <c r="DB335" s="13509"/>
      <c r="DC335" s="13510"/>
      <c r="DD335" s="13511"/>
      <c r="DE335" s="13512"/>
      <c r="DF335" s="13513"/>
      <c r="DG335" s="13514"/>
      <c r="DH335" s="13515"/>
      <c r="DI335" s="13516"/>
      <c r="DJ335" s="13517"/>
      <c r="DK335" s="13518"/>
      <c r="DL335" s="13519"/>
      <c r="DM335" s="13520"/>
      <c r="DN335" s="13521"/>
      <c r="DO335" s="13522"/>
      <c r="DP335" s="13523"/>
      <c r="DQ335" s="13524"/>
      <c r="DR335" s="13525"/>
      <c r="DS335" s="13526"/>
      <c r="DT335" s="13527"/>
      <c r="DU335" s="13528"/>
      <c r="DV335" s="13529"/>
      <c r="DW335" s="13530"/>
      <c r="DX335" s="13531"/>
      <c r="DY335" s="13532"/>
      <c r="DZ335" s="13533"/>
      <c r="EA335" s="13534"/>
      <c r="EB335" s="13535"/>
      <c r="EC335" s="13536"/>
      <c r="ED335" s="13537"/>
      <c r="EE335" s="13538"/>
      <c r="EF335" s="13539"/>
      <c r="EG335" s="13540"/>
      <c r="EH335" s="13541"/>
      <c r="EI335" s="13542"/>
      <c r="EJ335" s="13543"/>
      <c r="EK335" s="13544"/>
      <c r="EL335" s="13545"/>
      <c r="EM335" s="15756"/>
      <c r="EN335" s="15757"/>
      <c r="EO335" s="15758"/>
      <c r="EP335" s="15759"/>
      <c r="EQ335" s="15760"/>
      <c r="ER335" s="15761"/>
      <c r="ES335" s="15762"/>
      <c r="ET335" s="15763"/>
      <c r="EU335" s="15764"/>
      <c r="EV335" s="15765"/>
      <c r="EW335" s="15766"/>
      <c r="EX335" s="13546"/>
      <c r="EY335" s="13547"/>
      <c r="EZ335" s="10500"/>
      <c r="FA335" s="10501"/>
      <c r="FB335" s="10501" t="str">
        <f t="shared" si="5"/>
        <v>Добавить наименование признака дифференциации</v>
      </c>
      <c r="FC335" s="10501"/>
      <c r="FD335" s="10501"/>
    </row>
    <row r="336" spans="1:160" s="15767" customFormat="1" ht="14.25" customHeight="1">
      <c r="A336" s="11277"/>
      <c r="B336" s="11277"/>
      <c r="C336" s="11277"/>
      <c r="D336" s="11277"/>
      <c r="E336" s="16125"/>
      <c r="F336" s="16124" t="s">
        <v>91</v>
      </c>
      <c r="G336" s="11277"/>
      <c r="H336" s="11277"/>
      <c r="I336" s="11277"/>
      <c r="J336" s="11277"/>
      <c r="K336" s="11277"/>
      <c r="L336" s="11278"/>
      <c r="M336" s="11279"/>
      <c r="N336" s="11279"/>
      <c r="O336" s="10500"/>
      <c r="P336" s="11280"/>
      <c r="Q336" s="11281"/>
      <c r="R336" s="11280"/>
      <c r="S336" s="11282"/>
      <c r="T336" s="11283" t="s">
        <v>290</v>
      </c>
      <c r="U336" s="11284"/>
      <c r="V336" s="11284"/>
      <c r="W336" s="11284"/>
      <c r="X336" s="11284"/>
      <c r="Y336" s="11284"/>
      <c r="Z336" s="11284"/>
      <c r="AA336" s="11284"/>
      <c r="AB336" s="11284"/>
      <c r="AC336" s="11284"/>
      <c r="AD336" s="11284"/>
      <c r="AE336" s="11284"/>
      <c r="AF336" s="11284"/>
      <c r="AG336" s="11284"/>
      <c r="AH336" s="11284"/>
      <c r="AI336" s="11284"/>
      <c r="AJ336" s="11284"/>
      <c r="AK336" s="11284"/>
      <c r="AL336" s="11284"/>
      <c r="AM336" s="11284"/>
      <c r="AN336" s="11284"/>
      <c r="AO336" s="11284"/>
      <c r="AP336" s="11284"/>
      <c r="AQ336" s="11284"/>
      <c r="AR336" s="11284"/>
      <c r="AS336" s="11284"/>
      <c r="AT336" s="11284"/>
      <c r="AU336" s="11284"/>
      <c r="AV336" s="11284"/>
      <c r="AW336" s="11284"/>
      <c r="AX336" s="11284"/>
      <c r="AY336" s="11284"/>
      <c r="AZ336" s="11284"/>
      <c r="BA336" s="11284"/>
      <c r="BB336" s="11284"/>
      <c r="BC336" s="11284"/>
      <c r="BD336" s="11284"/>
      <c r="BE336" s="11284"/>
      <c r="BF336" s="11284"/>
      <c r="BG336" s="11284"/>
      <c r="BH336" s="11284"/>
      <c r="BI336" s="11284"/>
      <c r="BJ336" s="11284"/>
      <c r="BK336" s="11284"/>
      <c r="BL336" s="11284"/>
      <c r="BM336" s="11284"/>
      <c r="BN336" s="11284"/>
      <c r="BO336" s="11284"/>
      <c r="BP336" s="11284"/>
      <c r="BQ336" s="11284"/>
      <c r="BR336" s="11284"/>
      <c r="BS336" s="11284"/>
      <c r="BT336" s="11284"/>
      <c r="BU336" s="11284"/>
      <c r="BV336" s="11284"/>
      <c r="BW336" s="11284"/>
      <c r="BX336" s="11284"/>
      <c r="BY336" s="11284"/>
      <c r="BZ336" s="11284"/>
      <c r="CA336" s="11284"/>
      <c r="CB336" s="11284"/>
      <c r="CC336" s="11284"/>
      <c r="CD336" s="11284"/>
      <c r="CE336" s="11284"/>
      <c r="CF336" s="11284"/>
      <c r="CG336" s="11284"/>
      <c r="CH336" s="11284"/>
      <c r="CI336" s="11284"/>
      <c r="CJ336" s="11284"/>
      <c r="CK336" s="11284"/>
      <c r="CL336" s="11284"/>
      <c r="CM336" s="11284"/>
      <c r="CN336" s="11284"/>
      <c r="CO336" s="11284"/>
      <c r="CP336" s="11284"/>
      <c r="CQ336" s="11284"/>
      <c r="CR336" s="11284"/>
      <c r="CS336" s="11284"/>
      <c r="CT336" s="11284"/>
      <c r="CU336" s="11284"/>
      <c r="CV336" s="11284"/>
      <c r="CW336" s="11284"/>
      <c r="CX336" s="11284"/>
      <c r="CY336" s="11284"/>
      <c r="CZ336" s="11284"/>
      <c r="DA336" s="11284"/>
      <c r="DB336" s="11284"/>
      <c r="DC336" s="11284"/>
      <c r="DD336" s="11284"/>
      <c r="DE336" s="11284"/>
      <c r="DF336" s="11284"/>
      <c r="DG336" s="11284"/>
      <c r="DH336" s="11284"/>
      <c r="DI336" s="11284"/>
      <c r="DJ336" s="11284"/>
      <c r="DK336" s="11284"/>
      <c r="DL336" s="11284"/>
      <c r="DM336" s="11284"/>
      <c r="DN336" s="11284"/>
      <c r="DO336" s="11284"/>
      <c r="DP336" s="11284"/>
      <c r="DQ336" s="11284"/>
      <c r="DR336" s="11284"/>
      <c r="DS336" s="11284"/>
      <c r="DT336" s="11284"/>
      <c r="DU336" s="11284"/>
      <c r="DV336" s="11284"/>
      <c r="DW336" s="11284"/>
      <c r="DX336" s="11284"/>
      <c r="DY336" s="11284"/>
      <c r="DZ336" s="11284"/>
      <c r="EA336" s="11284"/>
      <c r="EB336" s="11284"/>
      <c r="EC336" s="11284"/>
      <c r="ED336" s="11284"/>
      <c r="EE336" s="11284"/>
      <c r="EF336" s="11284"/>
      <c r="EG336" s="11284"/>
      <c r="EH336" s="11284"/>
      <c r="EI336" s="11284"/>
      <c r="EJ336" s="11284"/>
      <c r="EK336" s="11284"/>
      <c r="EL336" s="11285"/>
      <c r="EM336" s="14483"/>
      <c r="EN336" s="14483"/>
      <c r="EO336" s="14483"/>
      <c r="EP336" s="14483"/>
      <c r="EQ336" s="14483"/>
      <c r="ER336" s="14483"/>
      <c r="ES336" s="14483"/>
      <c r="ET336" s="14483"/>
      <c r="EU336" s="14483"/>
      <c r="EV336" s="14483"/>
      <c r="EW336" s="14483"/>
      <c r="EX336" s="11284"/>
      <c r="EY336" s="11284"/>
      <c r="EZ336" s="10500"/>
      <c r="FA336" s="10501"/>
      <c r="FB336" s="10501" t="str">
        <f t="shared" si="5"/>
        <v>Добавить централизованную систему для дифференциации</v>
      </c>
      <c r="FC336" s="10501"/>
      <c r="FD336" s="10501"/>
    </row>
    <row r="337" spans="1:160" s="15768" customFormat="1" ht="23.25" customHeight="1">
      <c r="A337" s="10490"/>
      <c r="B337" s="10490" t="s">
        <v>384</v>
      </c>
      <c r="C337" s="10490"/>
      <c r="D337" s="10490"/>
      <c r="E337" s="16125"/>
      <c r="F337" s="16124" t="s">
        <v>132</v>
      </c>
      <c r="G337" s="10490"/>
      <c r="H337" s="10490"/>
      <c r="I337" s="10490"/>
      <c r="J337" s="10490"/>
      <c r="K337" s="10490"/>
      <c r="L337" s="10491"/>
      <c r="M337" s="10492"/>
      <c r="N337" s="10492"/>
      <c r="O337" s="10492"/>
      <c r="P337" s="10502"/>
      <c r="Q337" s="10503"/>
      <c r="R337" s="10504"/>
      <c r="S337" s="10496" t="str">
        <f>INDEX(PT_DIFFERENTIATION_NUM_TER,MATCH(B337,PT_DIFFERENTIATION_TER_ID,0))</f>
        <v>3.8</v>
      </c>
      <c r="T337" s="10505" t="s">
        <v>534</v>
      </c>
      <c r="U337" s="10498"/>
      <c r="V337" s="16110"/>
      <c r="W337" s="16111"/>
      <c r="X337" s="16111"/>
      <c r="Y337" s="16111"/>
      <c r="Z337" s="16111"/>
      <c r="AA337" s="16111"/>
      <c r="AB337" s="16111"/>
      <c r="AC337" s="16111"/>
      <c r="AD337" s="16111"/>
      <c r="AE337" s="16111"/>
      <c r="AF337" s="16112"/>
      <c r="AG337" s="16110" t="str">
        <f>INDEX(PT_DIFFERENTIATION_TER,MATCH(B337,PT_DIFFERENTIATION_TER_ID,0))</f>
        <v>Территория 8</v>
      </c>
      <c r="AH337" s="16111"/>
      <c r="AI337" s="16111"/>
      <c r="AJ337" s="16111"/>
      <c r="AK337" s="16111"/>
      <c r="AL337" s="16111"/>
      <c r="AM337" s="16111"/>
      <c r="AN337" s="16111"/>
      <c r="AO337" s="16111"/>
      <c r="AP337" s="16111"/>
      <c r="AQ337" s="16111"/>
      <c r="AR337" s="16110"/>
      <c r="AS337" s="16111"/>
      <c r="AT337" s="16111"/>
      <c r="AU337" s="16111"/>
      <c r="AV337" s="16111"/>
      <c r="AW337" s="16111"/>
      <c r="AX337" s="16111"/>
      <c r="AY337" s="16111"/>
      <c r="AZ337" s="16111"/>
      <c r="BA337" s="16111"/>
      <c r="BB337" s="16112"/>
      <c r="BC337" s="16110"/>
      <c r="BD337" s="16111"/>
      <c r="BE337" s="16111"/>
      <c r="BF337" s="16111"/>
      <c r="BG337" s="16111"/>
      <c r="BH337" s="16111"/>
      <c r="BI337" s="16111"/>
      <c r="BJ337" s="16111"/>
      <c r="BK337" s="16111"/>
      <c r="BL337" s="16111"/>
      <c r="BM337" s="16112"/>
      <c r="BN337" s="16110"/>
      <c r="BO337" s="16111"/>
      <c r="BP337" s="16111"/>
      <c r="BQ337" s="16111"/>
      <c r="BR337" s="16111"/>
      <c r="BS337" s="16111"/>
      <c r="BT337" s="16111"/>
      <c r="BU337" s="16111"/>
      <c r="BV337" s="16111"/>
      <c r="BW337" s="16111"/>
      <c r="BX337" s="16112"/>
      <c r="BY337" s="16110"/>
      <c r="BZ337" s="16111"/>
      <c r="CA337" s="16111"/>
      <c r="CB337" s="16111"/>
      <c r="CC337" s="16111"/>
      <c r="CD337" s="16111"/>
      <c r="CE337" s="16111"/>
      <c r="CF337" s="16111"/>
      <c r="CG337" s="16111"/>
      <c r="CH337" s="16111"/>
      <c r="CI337" s="16112"/>
      <c r="CJ337" s="16110"/>
      <c r="CK337" s="16111"/>
      <c r="CL337" s="16111"/>
      <c r="CM337" s="16111"/>
      <c r="CN337" s="16111"/>
      <c r="CO337" s="16111"/>
      <c r="CP337" s="16111"/>
      <c r="CQ337" s="16111"/>
      <c r="CR337" s="16111"/>
      <c r="CS337" s="16111"/>
      <c r="CT337" s="16112"/>
      <c r="CU337" s="16110"/>
      <c r="CV337" s="16111"/>
      <c r="CW337" s="16111"/>
      <c r="CX337" s="16111"/>
      <c r="CY337" s="16111"/>
      <c r="CZ337" s="16111"/>
      <c r="DA337" s="16111"/>
      <c r="DB337" s="16111"/>
      <c r="DC337" s="16111"/>
      <c r="DD337" s="16111"/>
      <c r="DE337" s="16112"/>
      <c r="DF337" s="16110"/>
      <c r="DG337" s="16111"/>
      <c r="DH337" s="16111"/>
      <c r="DI337" s="16111"/>
      <c r="DJ337" s="16111"/>
      <c r="DK337" s="16111"/>
      <c r="DL337" s="16111"/>
      <c r="DM337" s="16111"/>
      <c r="DN337" s="16111"/>
      <c r="DO337" s="16111"/>
      <c r="DP337" s="16112"/>
      <c r="DQ337" s="16110"/>
      <c r="DR337" s="16111"/>
      <c r="DS337" s="16111"/>
      <c r="DT337" s="16111"/>
      <c r="DU337" s="16111"/>
      <c r="DV337" s="16111"/>
      <c r="DW337" s="16111"/>
      <c r="DX337" s="16111"/>
      <c r="DY337" s="16111"/>
      <c r="DZ337" s="16111"/>
      <c r="EA337" s="16112"/>
      <c r="EB337" s="16110"/>
      <c r="EC337" s="16111"/>
      <c r="ED337" s="16111"/>
      <c r="EE337" s="16111"/>
      <c r="EF337" s="16111"/>
      <c r="EG337" s="16111"/>
      <c r="EH337" s="16111"/>
      <c r="EI337" s="16111"/>
      <c r="EJ337" s="16111"/>
      <c r="EK337" s="16111"/>
      <c r="EL337" s="16199"/>
      <c r="EM337" s="16110"/>
      <c r="EN337" s="16111"/>
      <c r="EO337" s="16111"/>
      <c r="EP337" s="16111"/>
      <c r="EQ337" s="16111"/>
      <c r="ER337" s="16111"/>
      <c r="ES337" s="16111"/>
      <c r="ET337" s="16111"/>
      <c r="EU337" s="16111"/>
      <c r="EV337" s="16111"/>
      <c r="EW337" s="16112"/>
      <c r="EX337" s="16112"/>
      <c r="EY337" s="10499" t="s">
        <v>535</v>
      </c>
      <c r="EZ337" s="10500"/>
      <c r="FA337" s="10501"/>
      <c r="FB337" s="10501" t="str">
        <f t="shared" si="5"/>
        <v>Территория действия тарифа</v>
      </c>
      <c r="FC337" s="10501"/>
      <c r="FD337" s="10501"/>
    </row>
    <row r="338" spans="1:160" s="15769" customFormat="1" ht="23.25" customHeight="1">
      <c r="A338" s="10490"/>
      <c r="B338" s="10490"/>
      <c r="C338" s="10490" t="s">
        <v>385</v>
      </c>
      <c r="D338" s="10490"/>
      <c r="E338" s="16125"/>
      <c r="F338" s="16125" t="s">
        <v>92</v>
      </c>
      <c r="G338" s="16124">
        <v>1</v>
      </c>
      <c r="H338" s="10490"/>
      <c r="I338" s="10490"/>
      <c r="J338" s="10490"/>
      <c r="K338" s="10490"/>
      <c r="L338" s="10491"/>
      <c r="M338" s="10492"/>
      <c r="N338" s="10492"/>
      <c r="O338" s="10492"/>
      <c r="P338" s="10506"/>
      <c r="Q338" s="10503"/>
      <c r="R338" s="10504"/>
      <c r="S338" s="10496" t="str">
        <f>INDEX(PT_DIFFERENTIATION_NUM_CS,MATCH(C338,PT_DIFFERENTIATION_CS_ID,0))</f>
        <v>3.8.1</v>
      </c>
      <c r="T338" s="10507" t="s">
        <v>665</v>
      </c>
      <c r="U338" s="10498"/>
      <c r="V338" s="16110"/>
      <c r="W338" s="16111"/>
      <c r="X338" s="16111"/>
      <c r="Y338" s="16111"/>
      <c r="Z338" s="16111"/>
      <c r="AA338" s="16111"/>
      <c r="AB338" s="16111"/>
      <c r="AC338" s="16111"/>
      <c r="AD338" s="16111"/>
      <c r="AE338" s="16111"/>
      <c r="AF338" s="16112"/>
      <c r="AG338" s="16110" t="str">
        <f>INDEX(PT_DIFFERENTIATION_CS,MATCH(C338,PT_DIFFERENTIATION_CS_ID,0))</f>
        <v>без дифференциации</v>
      </c>
      <c r="AH338" s="16111"/>
      <c r="AI338" s="16111"/>
      <c r="AJ338" s="16111"/>
      <c r="AK338" s="16111"/>
      <c r="AL338" s="16111"/>
      <c r="AM338" s="16111"/>
      <c r="AN338" s="16111"/>
      <c r="AO338" s="16111"/>
      <c r="AP338" s="16111"/>
      <c r="AQ338" s="16111"/>
      <c r="AR338" s="16110"/>
      <c r="AS338" s="16111"/>
      <c r="AT338" s="16111"/>
      <c r="AU338" s="16111"/>
      <c r="AV338" s="16111"/>
      <c r="AW338" s="16111"/>
      <c r="AX338" s="16111"/>
      <c r="AY338" s="16111"/>
      <c r="AZ338" s="16111"/>
      <c r="BA338" s="16111"/>
      <c r="BB338" s="16112"/>
      <c r="BC338" s="16110"/>
      <c r="BD338" s="16111"/>
      <c r="BE338" s="16111"/>
      <c r="BF338" s="16111"/>
      <c r="BG338" s="16111"/>
      <c r="BH338" s="16111"/>
      <c r="BI338" s="16111"/>
      <c r="BJ338" s="16111"/>
      <c r="BK338" s="16111"/>
      <c r="BL338" s="16111"/>
      <c r="BM338" s="16112"/>
      <c r="BN338" s="16110"/>
      <c r="BO338" s="16111"/>
      <c r="BP338" s="16111"/>
      <c r="BQ338" s="16111"/>
      <c r="BR338" s="16111"/>
      <c r="BS338" s="16111"/>
      <c r="BT338" s="16111"/>
      <c r="BU338" s="16111"/>
      <c r="BV338" s="16111"/>
      <c r="BW338" s="16111"/>
      <c r="BX338" s="16112"/>
      <c r="BY338" s="16110"/>
      <c r="BZ338" s="16111"/>
      <c r="CA338" s="16111"/>
      <c r="CB338" s="16111"/>
      <c r="CC338" s="16111"/>
      <c r="CD338" s="16111"/>
      <c r="CE338" s="16111"/>
      <c r="CF338" s="16111"/>
      <c r="CG338" s="16111"/>
      <c r="CH338" s="16111"/>
      <c r="CI338" s="16112"/>
      <c r="CJ338" s="16110"/>
      <c r="CK338" s="16111"/>
      <c r="CL338" s="16111"/>
      <c r="CM338" s="16111"/>
      <c r="CN338" s="16111"/>
      <c r="CO338" s="16111"/>
      <c r="CP338" s="16111"/>
      <c r="CQ338" s="16111"/>
      <c r="CR338" s="16111"/>
      <c r="CS338" s="16111"/>
      <c r="CT338" s="16112"/>
      <c r="CU338" s="16110"/>
      <c r="CV338" s="16111"/>
      <c r="CW338" s="16111"/>
      <c r="CX338" s="16111"/>
      <c r="CY338" s="16111"/>
      <c r="CZ338" s="16111"/>
      <c r="DA338" s="16111"/>
      <c r="DB338" s="16111"/>
      <c r="DC338" s="16111"/>
      <c r="DD338" s="16111"/>
      <c r="DE338" s="16112"/>
      <c r="DF338" s="16110"/>
      <c r="DG338" s="16111"/>
      <c r="DH338" s="16111"/>
      <c r="DI338" s="16111"/>
      <c r="DJ338" s="16111"/>
      <c r="DK338" s="16111"/>
      <c r="DL338" s="16111"/>
      <c r="DM338" s="16111"/>
      <c r="DN338" s="16111"/>
      <c r="DO338" s="16111"/>
      <c r="DP338" s="16112"/>
      <c r="DQ338" s="16110"/>
      <c r="DR338" s="16111"/>
      <c r="DS338" s="16111"/>
      <c r="DT338" s="16111"/>
      <c r="DU338" s="16111"/>
      <c r="DV338" s="16111"/>
      <c r="DW338" s="16111"/>
      <c r="DX338" s="16111"/>
      <c r="DY338" s="16111"/>
      <c r="DZ338" s="16111"/>
      <c r="EA338" s="16112"/>
      <c r="EB338" s="16110"/>
      <c r="EC338" s="16111"/>
      <c r="ED338" s="16111"/>
      <c r="EE338" s="16111"/>
      <c r="EF338" s="16111"/>
      <c r="EG338" s="16111"/>
      <c r="EH338" s="16111"/>
      <c r="EI338" s="16111"/>
      <c r="EJ338" s="16111"/>
      <c r="EK338" s="16111"/>
      <c r="EL338" s="16199"/>
      <c r="EM338" s="16110"/>
      <c r="EN338" s="16111"/>
      <c r="EO338" s="16111"/>
      <c r="EP338" s="16111"/>
      <c r="EQ338" s="16111"/>
      <c r="ER338" s="16111"/>
      <c r="ES338" s="16111"/>
      <c r="ET338" s="16111"/>
      <c r="EU338" s="16111"/>
      <c r="EV338" s="16111"/>
      <c r="EW338" s="16112"/>
      <c r="EX338" s="16112"/>
      <c r="EY338" s="10499" t="s">
        <v>666</v>
      </c>
      <c r="EZ338" s="10500"/>
      <c r="FA338" s="10501"/>
      <c r="FB338" s="10501" t="str">
        <f t="shared" si="5"/>
        <v>Наименование централизованной системы горячего водоснабжения</v>
      </c>
      <c r="FC338" s="10501"/>
      <c r="FD338" s="10501"/>
    </row>
    <row r="339" spans="1:160" s="15770" customFormat="1" ht="23.25" customHeight="1">
      <c r="A339" s="10490"/>
      <c r="B339" s="10490"/>
      <c r="C339" s="10490"/>
      <c r="D339" s="10490"/>
      <c r="E339" s="16125"/>
      <c r="F339" s="16125" t="s">
        <v>92</v>
      </c>
      <c r="G339" s="16125"/>
      <c r="H339" s="16125"/>
      <c r="I339" s="16122" t="str">
        <f>S338&amp;".1"</f>
        <v>3.8.1.1</v>
      </c>
      <c r="J339" s="10490"/>
      <c r="K339" s="10490"/>
      <c r="L339" s="10491"/>
      <c r="M339" s="10508"/>
      <c r="N339" s="10508"/>
      <c r="O339" s="10508"/>
      <c r="P339" s="16123">
        <v>1</v>
      </c>
      <c r="Q339" s="10509"/>
      <c r="R339" s="10510"/>
      <c r="S339" s="10496" t="str">
        <f>$I339</f>
        <v>3.8.1.1</v>
      </c>
      <c r="T339" s="10511" t="s">
        <v>618</v>
      </c>
      <c r="U339" s="10498"/>
      <c r="V339" s="16183"/>
      <c r="W339" s="16184"/>
      <c r="X339" s="16184"/>
      <c r="Y339" s="16184"/>
      <c r="Z339" s="16184"/>
      <c r="AA339" s="16184"/>
      <c r="AB339" s="16184"/>
      <c r="AC339" s="16184"/>
      <c r="AD339" s="16184"/>
      <c r="AE339" s="16184"/>
      <c r="AF339" s="16185"/>
      <c r="AG339" s="16186"/>
      <c r="AH339" s="16187"/>
      <c r="AI339" s="16187"/>
      <c r="AJ339" s="16187"/>
      <c r="AK339" s="16187"/>
      <c r="AL339" s="16187"/>
      <c r="AM339" s="16187"/>
      <c r="AN339" s="16187"/>
      <c r="AO339" s="16187"/>
      <c r="AP339" s="16187"/>
      <c r="AQ339" s="16187"/>
      <c r="AR339" s="16183"/>
      <c r="AS339" s="16184"/>
      <c r="AT339" s="16184"/>
      <c r="AU339" s="16184"/>
      <c r="AV339" s="16184"/>
      <c r="AW339" s="16184"/>
      <c r="AX339" s="16184"/>
      <c r="AY339" s="16184"/>
      <c r="AZ339" s="16184"/>
      <c r="BA339" s="16184"/>
      <c r="BB339" s="16185"/>
      <c r="BC339" s="16183"/>
      <c r="BD339" s="16184"/>
      <c r="BE339" s="16184"/>
      <c r="BF339" s="16184"/>
      <c r="BG339" s="16184"/>
      <c r="BH339" s="16184"/>
      <c r="BI339" s="16184"/>
      <c r="BJ339" s="16184"/>
      <c r="BK339" s="16184"/>
      <c r="BL339" s="16184"/>
      <c r="BM339" s="16185"/>
      <c r="BN339" s="16183"/>
      <c r="BO339" s="16184"/>
      <c r="BP339" s="16184"/>
      <c r="BQ339" s="16184"/>
      <c r="BR339" s="16184"/>
      <c r="BS339" s="16184"/>
      <c r="BT339" s="16184"/>
      <c r="BU339" s="16184"/>
      <c r="BV339" s="16184"/>
      <c r="BW339" s="16184"/>
      <c r="BX339" s="16185"/>
      <c r="BY339" s="16183"/>
      <c r="BZ339" s="16184"/>
      <c r="CA339" s="16184"/>
      <c r="CB339" s="16184"/>
      <c r="CC339" s="16184"/>
      <c r="CD339" s="16184"/>
      <c r="CE339" s="16184"/>
      <c r="CF339" s="16184"/>
      <c r="CG339" s="16184"/>
      <c r="CH339" s="16184"/>
      <c r="CI339" s="16185"/>
      <c r="CJ339" s="16183"/>
      <c r="CK339" s="16184"/>
      <c r="CL339" s="16184"/>
      <c r="CM339" s="16184"/>
      <c r="CN339" s="16184"/>
      <c r="CO339" s="16184"/>
      <c r="CP339" s="16184"/>
      <c r="CQ339" s="16184"/>
      <c r="CR339" s="16184"/>
      <c r="CS339" s="16184"/>
      <c r="CT339" s="16185"/>
      <c r="CU339" s="16183"/>
      <c r="CV339" s="16184"/>
      <c r="CW339" s="16184"/>
      <c r="CX339" s="16184"/>
      <c r="CY339" s="16184"/>
      <c r="CZ339" s="16184"/>
      <c r="DA339" s="16184"/>
      <c r="DB339" s="16184"/>
      <c r="DC339" s="16184"/>
      <c r="DD339" s="16184"/>
      <c r="DE339" s="16185"/>
      <c r="DF339" s="16183"/>
      <c r="DG339" s="16184"/>
      <c r="DH339" s="16184"/>
      <c r="DI339" s="16184"/>
      <c r="DJ339" s="16184"/>
      <c r="DK339" s="16184"/>
      <c r="DL339" s="16184"/>
      <c r="DM339" s="16184"/>
      <c r="DN339" s="16184"/>
      <c r="DO339" s="16184"/>
      <c r="DP339" s="16185"/>
      <c r="DQ339" s="16183"/>
      <c r="DR339" s="16184"/>
      <c r="DS339" s="16184"/>
      <c r="DT339" s="16184"/>
      <c r="DU339" s="16184"/>
      <c r="DV339" s="16184"/>
      <c r="DW339" s="16184"/>
      <c r="DX339" s="16184"/>
      <c r="DY339" s="16184"/>
      <c r="DZ339" s="16184"/>
      <c r="EA339" s="16185"/>
      <c r="EB339" s="16183"/>
      <c r="EC339" s="16184"/>
      <c r="ED339" s="16184"/>
      <c r="EE339" s="16184"/>
      <c r="EF339" s="16184"/>
      <c r="EG339" s="16184"/>
      <c r="EH339" s="16184"/>
      <c r="EI339" s="16184"/>
      <c r="EJ339" s="16184"/>
      <c r="EK339" s="16184"/>
      <c r="EL339" s="16200"/>
      <c r="EM339" s="16183"/>
      <c r="EN339" s="16184"/>
      <c r="EO339" s="16184"/>
      <c r="EP339" s="16184"/>
      <c r="EQ339" s="16184"/>
      <c r="ER339" s="16184"/>
      <c r="ES339" s="16184"/>
      <c r="ET339" s="16184"/>
      <c r="EU339" s="16184"/>
      <c r="EV339" s="16184"/>
      <c r="EW339" s="16185"/>
      <c r="EX339" s="16188"/>
      <c r="EY339" s="10499" t="s">
        <v>619</v>
      </c>
      <c r="EZ339" s="10500"/>
      <c r="FA339" s="10501"/>
      <c r="FB339" s="10501" t="str">
        <f t="shared" si="5"/>
        <v>Наименование признака дифференциации</v>
      </c>
      <c r="FC339" s="10501"/>
      <c r="FD339" s="10501"/>
    </row>
    <row r="340" spans="1:160" s="15771" customFormat="1" ht="23.25" customHeight="1">
      <c r="A340" s="10490"/>
      <c r="B340" s="10490"/>
      <c r="C340" s="10490"/>
      <c r="D340" s="10490"/>
      <c r="E340" s="16125"/>
      <c r="F340" s="16125" t="s">
        <v>92</v>
      </c>
      <c r="G340" s="16125"/>
      <c r="H340" s="16125"/>
      <c r="I340" s="16145"/>
      <c r="J340" s="16122" t="str">
        <f>I339&amp;".1"</f>
        <v>3.8.1.1.1</v>
      </c>
      <c r="K340" s="10490"/>
      <c r="L340" s="10491" t="s">
        <v>543</v>
      </c>
      <c r="M340" s="10508"/>
      <c r="N340" s="10508"/>
      <c r="O340" s="10508"/>
      <c r="P340" s="16123"/>
      <c r="Q340" s="16123">
        <v>1</v>
      </c>
      <c r="R340" s="10512"/>
      <c r="S340" s="10496" t="str">
        <f>$J340</f>
        <v>3.8.1.1.1</v>
      </c>
      <c r="T340" s="10513" t="s">
        <v>544</v>
      </c>
      <c r="U340" s="10498"/>
      <c r="V340" s="16113"/>
      <c r="W340" s="16114"/>
      <c r="X340" s="16114"/>
      <c r="Y340" s="16114"/>
      <c r="Z340" s="16114"/>
      <c r="AA340" s="16114"/>
      <c r="AB340" s="16114"/>
      <c r="AC340" s="16114"/>
      <c r="AD340" s="16114"/>
      <c r="AE340" s="16114"/>
      <c r="AF340" s="16115"/>
      <c r="AG340" s="16113" t="s">
        <v>679</v>
      </c>
      <c r="AH340" s="16114"/>
      <c r="AI340" s="16114"/>
      <c r="AJ340" s="16114"/>
      <c r="AK340" s="16114"/>
      <c r="AL340" s="16114"/>
      <c r="AM340" s="16114"/>
      <c r="AN340" s="16114"/>
      <c r="AO340" s="16114"/>
      <c r="AP340" s="16114"/>
      <c r="AQ340" s="16114"/>
      <c r="AR340" s="16113"/>
      <c r="AS340" s="16114"/>
      <c r="AT340" s="16114"/>
      <c r="AU340" s="16114"/>
      <c r="AV340" s="16114"/>
      <c r="AW340" s="16114"/>
      <c r="AX340" s="16114"/>
      <c r="AY340" s="16114"/>
      <c r="AZ340" s="16114"/>
      <c r="BA340" s="16114"/>
      <c r="BB340" s="16115"/>
      <c r="BC340" s="16113"/>
      <c r="BD340" s="16114"/>
      <c r="BE340" s="16114"/>
      <c r="BF340" s="16114"/>
      <c r="BG340" s="16114"/>
      <c r="BH340" s="16114"/>
      <c r="BI340" s="16114"/>
      <c r="BJ340" s="16114"/>
      <c r="BK340" s="16114"/>
      <c r="BL340" s="16114"/>
      <c r="BM340" s="16115"/>
      <c r="BN340" s="16113"/>
      <c r="BO340" s="16114"/>
      <c r="BP340" s="16114"/>
      <c r="BQ340" s="16114"/>
      <c r="BR340" s="16114"/>
      <c r="BS340" s="16114"/>
      <c r="BT340" s="16114"/>
      <c r="BU340" s="16114"/>
      <c r="BV340" s="16114"/>
      <c r="BW340" s="16114"/>
      <c r="BX340" s="16115"/>
      <c r="BY340" s="16113"/>
      <c r="BZ340" s="16114"/>
      <c r="CA340" s="16114"/>
      <c r="CB340" s="16114"/>
      <c r="CC340" s="16114"/>
      <c r="CD340" s="16114"/>
      <c r="CE340" s="16114"/>
      <c r="CF340" s="16114"/>
      <c r="CG340" s="16114"/>
      <c r="CH340" s="16114"/>
      <c r="CI340" s="16115"/>
      <c r="CJ340" s="16113"/>
      <c r="CK340" s="16114"/>
      <c r="CL340" s="16114"/>
      <c r="CM340" s="16114"/>
      <c r="CN340" s="16114"/>
      <c r="CO340" s="16114"/>
      <c r="CP340" s="16114"/>
      <c r="CQ340" s="16114"/>
      <c r="CR340" s="16114"/>
      <c r="CS340" s="16114"/>
      <c r="CT340" s="16115"/>
      <c r="CU340" s="16113"/>
      <c r="CV340" s="16114"/>
      <c r="CW340" s="16114"/>
      <c r="CX340" s="16114"/>
      <c r="CY340" s="16114"/>
      <c r="CZ340" s="16114"/>
      <c r="DA340" s="16114"/>
      <c r="DB340" s="16114"/>
      <c r="DC340" s="16114"/>
      <c r="DD340" s="16114"/>
      <c r="DE340" s="16115"/>
      <c r="DF340" s="16113"/>
      <c r="DG340" s="16114"/>
      <c r="DH340" s="16114"/>
      <c r="DI340" s="16114"/>
      <c r="DJ340" s="16114"/>
      <c r="DK340" s="16114"/>
      <c r="DL340" s="16114"/>
      <c r="DM340" s="16114"/>
      <c r="DN340" s="16114"/>
      <c r="DO340" s="16114"/>
      <c r="DP340" s="16115"/>
      <c r="DQ340" s="16113"/>
      <c r="DR340" s="16114"/>
      <c r="DS340" s="16114"/>
      <c r="DT340" s="16114"/>
      <c r="DU340" s="16114"/>
      <c r="DV340" s="16114"/>
      <c r="DW340" s="16114"/>
      <c r="DX340" s="16114"/>
      <c r="DY340" s="16114"/>
      <c r="DZ340" s="16114"/>
      <c r="EA340" s="16115"/>
      <c r="EB340" s="16113"/>
      <c r="EC340" s="16114"/>
      <c r="ED340" s="16114"/>
      <c r="EE340" s="16114"/>
      <c r="EF340" s="16114"/>
      <c r="EG340" s="16114"/>
      <c r="EH340" s="16114"/>
      <c r="EI340" s="16114"/>
      <c r="EJ340" s="16114"/>
      <c r="EK340" s="16114"/>
      <c r="EL340" s="16201"/>
      <c r="EM340" s="16113"/>
      <c r="EN340" s="16114"/>
      <c r="EO340" s="16114"/>
      <c r="EP340" s="16114"/>
      <c r="EQ340" s="16114"/>
      <c r="ER340" s="16114"/>
      <c r="ES340" s="16114"/>
      <c r="ET340" s="16114"/>
      <c r="EU340" s="16114"/>
      <c r="EV340" s="16114"/>
      <c r="EW340" s="16115"/>
      <c r="EX340" s="16115"/>
      <c r="EY340" s="10514" t="s">
        <v>620</v>
      </c>
      <c r="EZ340" s="10500"/>
      <c r="FA340" s="10501"/>
      <c r="FB340" s="10501" t="str">
        <f t="shared" si="5"/>
        <v>Группа потребителей</v>
      </c>
      <c r="FC340" s="10501"/>
      <c r="FD340" s="10501"/>
    </row>
    <row r="341" spans="1:160" s="15772" customFormat="1" ht="23.25" customHeight="1">
      <c r="A341" s="10490"/>
      <c r="B341" s="10490"/>
      <c r="C341" s="10490"/>
      <c r="D341" s="10490"/>
      <c r="E341" s="16125"/>
      <c r="F341" s="16125" t="s">
        <v>92</v>
      </c>
      <c r="G341" s="16125"/>
      <c r="H341" s="16125"/>
      <c r="I341" s="16145"/>
      <c r="J341" s="16145"/>
      <c r="K341" s="16122" t="str">
        <f>J340&amp;".1"</f>
        <v>3.8.1.1.1.1</v>
      </c>
      <c r="L341" s="10491"/>
      <c r="M341" s="10508"/>
      <c r="N341" s="10508"/>
      <c r="O341" s="10508"/>
      <c r="P341" s="16123"/>
      <c r="Q341" s="16123"/>
      <c r="R341" s="10512">
        <v>1</v>
      </c>
      <c r="S341" s="10496" t="str">
        <f>$K341</f>
        <v>3.8.1.1.1.1</v>
      </c>
      <c r="T341" s="10515"/>
      <c r="U341" s="10498"/>
      <c r="V341" s="10516"/>
      <c r="W341" s="10516"/>
      <c r="X341" s="10516"/>
      <c r="Y341" s="10516"/>
      <c r="Z341" s="10516"/>
      <c r="AA341" s="10516"/>
      <c r="AB341" s="10516"/>
      <c r="AC341" s="16127"/>
      <c r="AD341" s="15973" t="s">
        <v>66</v>
      </c>
      <c r="AE341" s="16127"/>
      <c r="AF341" s="15973" t="s">
        <v>66</v>
      </c>
      <c r="AG341" s="10516">
        <v>26.75</v>
      </c>
      <c r="AH341" s="10516"/>
      <c r="AI341" s="10516"/>
      <c r="AJ341" s="10516"/>
      <c r="AK341" s="10516">
        <v>3619.76</v>
      </c>
      <c r="AL341" s="10516"/>
      <c r="AM341" s="10516"/>
      <c r="AN341" s="16127">
        <v>45292</v>
      </c>
      <c r="AO341" s="15973" t="s">
        <v>66</v>
      </c>
      <c r="AP341" s="16146">
        <v>45378</v>
      </c>
      <c r="AQ341" s="15973" t="s">
        <v>66</v>
      </c>
      <c r="AR341" s="10516">
        <v>26.75</v>
      </c>
      <c r="AS341" s="10516"/>
      <c r="AT341" s="10516"/>
      <c r="AU341" s="10516"/>
      <c r="AV341" s="10516">
        <v>3619.76</v>
      </c>
      <c r="AW341" s="10516"/>
      <c r="AX341" s="10516"/>
      <c r="AY341" s="16127">
        <v>45379</v>
      </c>
      <c r="AZ341" s="15973" t="s">
        <v>66</v>
      </c>
      <c r="BA341" s="16127">
        <v>45473</v>
      </c>
      <c r="BB341" s="15973" t="s">
        <v>66</v>
      </c>
      <c r="BC341" s="10516">
        <v>33</v>
      </c>
      <c r="BD341" s="10516"/>
      <c r="BE341" s="10516"/>
      <c r="BF341" s="10516"/>
      <c r="BG341" s="10516">
        <v>4064.99</v>
      </c>
      <c r="BH341" s="10516"/>
      <c r="BI341" s="10516"/>
      <c r="BJ341" s="16127">
        <v>45474</v>
      </c>
      <c r="BK341" s="15973" t="s">
        <v>66</v>
      </c>
      <c r="BL341" s="16127">
        <v>45657</v>
      </c>
      <c r="BM341" s="15973" t="s">
        <v>66</v>
      </c>
      <c r="BN341" s="10516">
        <v>28.77</v>
      </c>
      <c r="BO341" s="10516"/>
      <c r="BP341" s="10516"/>
      <c r="BQ341" s="10516"/>
      <c r="BR341" s="10516">
        <v>4064.99</v>
      </c>
      <c r="BS341" s="10516"/>
      <c r="BT341" s="10516"/>
      <c r="BU341" s="16127">
        <v>45658</v>
      </c>
      <c r="BV341" s="15973" t="s">
        <v>66</v>
      </c>
      <c r="BW341" s="16127">
        <v>45838</v>
      </c>
      <c r="BX341" s="15973" t="s">
        <v>66</v>
      </c>
      <c r="BY341" s="10516">
        <v>28.77</v>
      </c>
      <c r="BZ341" s="10516"/>
      <c r="CA341" s="10516"/>
      <c r="CB341" s="10516"/>
      <c r="CC341" s="10516">
        <v>4235.72</v>
      </c>
      <c r="CD341" s="10516"/>
      <c r="CE341" s="10516"/>
      <c r="CF341" s="16127">
        <v>45839</v>
      </c>
      <c r="CG341" s="15973" t="s">
        <v>66</v>
      </c>
      <c r="CH341" s="16127">
        <v>46022</v>
      </c>
      <c r="CI341" s="15973" t="s">
        <v>66</v>
      </c>
      <c r="CJ341" s="10516">
        <v>28.77</v>
      </c>
      <c r="CK341" s="10516"/>
      <c r="CL341" s="10516"/>
      <c r="CM341" s="10516"/>
      <c r="CN341" s="10516">
        <v>4235.72</v>
      </c>
      <c r="CO341" s="10516"/>
      <c r="CP341" s="10516"/>
      <c r="CQ341" s="16127">
        <v>46023</v>
      </c>
      <c r="CR341" s="15973" t="s">
        <v>66</v>
      </c>
      <c r="CS341" s="16127">
        <v>46203</v>
      </c>
      <c r="CT341" s="15973" t="s">
        <v>66</v>
      </c>
      <c r="CU341" s="10516">
        <v>30.54</v>
      </c>
      <c r="CV341" s="10516"/>
      <c r="CW341" s="10516"/>
      <c r="CX341" s="10516"/>
      <c r="CY341" s="10516">
        <v>4405.1499999999996</v>
      </c>
      <c r="CZ341" s="10516"/>
      <c r="DA341" s="10516"/>
      <c r="DB341" s="16127">
        <v>46204</v>
      </c>
      <c r="DC341" s="15973" t="s">
        <v>66</v>
      </c>
      <c r="DD341" s="16127">
        <v>46387</v>
      </c>
      <c r="DE341" s="15973" t="s">
        <v>66</v>
      </c>
      <c r="DF341" s="10516">
        <v>30.54</v>
      </c>
      <c r="DG341" s="10516"/>
      <c r="DH341" s="10516"/>
      <c r="DI341" s="10516"/>
      <c r="DJ341" s="10516">
        <v>4505.1499999999996</v>
      </c>
      <c r="DK341" s="10516"/>
      <c r="DL341" s="10516"/>
      <c r="DM341" s="16127">
        <v>46388</v>
      </c>
      <c r="DN341" s="15973" t="s">
        <v>66</v>
      </c>
      <c r="DO341" s="16127">
        <v>46568</v>
      </c>
      <c r="DP341" s="15973" t="s">
        <v>66</v>
      </c>
      <c r="DQ341" s="10516">
        <v>30.6</v>
      </c>
      <c r="DR341" s="10516"/>
      <c r="DS341" s="10516"/>
      <c r="DT341" s="10516"/>
      <c r="DU341" s="10516">
        <v>4581.3599999999997</v>
      </c>
      <c r="DV341" s="10516"/>
      <c r="DW341" s="10516"/>
      <c r="DX341" s="16127">
        <v>46569</v>
      </c>
      <c r="DY341" s="15973" t="s">
        <v>66</v>
      </c>
      <c r="DZ341" s="16127">
        <v>46752</v>
      </c>
      <c r="EA341" s="15973" t="s">
        <v>66</v>
      </c>
      <c r="EB341" s="10516">
        <v>30.6</v>
      </c>
      <c r="EC341" s="10516"/>
      <c r="ED341" s="10516"/>
      <c r="EE341" s="10516"/>
      <c r="EF341" s="10516">
        <v>4581.3599999999997</v>
      </c>
      <c r="EG341" s="10516"/>
      <c r="EH341" s="10516"/>
      <c r="EI341" s="16127">
        <v>46753</v>
      </c>
      <c r="EJ341" s="15973" t="s">
        <v>66</v>
      </c>
      <c r="EK341" s="16127">
        <v>46934</v>
      </c>
      <c r="EL341" s="16202" t="s">
        <v>66</v>
      </c>
      <c r="EM341" s="14448">
        <v>31.82</v>
      </c>
      <c r="EN341" s="14448"/>
      <c r="EO341" s="14448"/>
      <c r="EP341" s="14448"/>
      <c r="EQ341" s="14448">
        <v>4764.6099999999997</v>
      </c>
      <c r="ER341" s="14448"/>
      <c r="ES341" s="14448"/>
      <c r="ET341" s="16127">
        <v>46935</v>
      </c>
      <c r="EU341" s="15973" t="s">
        <v>66</v>
      </c>
      <c r="EV341" s="16127">
        <v>47118</v>
      </c>
      <c r="EW341" s="15973" t="s">
        <v>66</v>
      </c>
      <c r="EX341" s="10517"/>
      <c r="EY34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341" s="10500" t="e">
        <f ca="1">STRCHECKDATE(V342:EX342)</f>
        <v>#NAME?</v>
      </c>
      <c r="FA341" s="10501"/>
      <c r="FB341" s="10501" t="str">
        <f t="shared" si="5"/>
        <v/>
      </c>
      <c r="FC341" s="10501"/>
      <c r="FD341" s="10501"/>
    </row>
    <row r="342" spans="1:160" s="15773" customFormat="1" ht="14.25" customHeight="1">
      <c r="A342" s="10490"/>
      <c r="B342" s="10490"/>
      <c r="C342" s="10490"/>
      <c r="D342" s="10490"/>
      <c r="E342" s="16125"/>
      <c r="F342" s="16125" t="s">
        <v>92</v>
      </c>
      <c r="G342" s="16125"/>
      <c r="H342" s="16125"/>
      <c r="I342" s="16145"/>
      <c r="J342" s="16145"/>
      <c r="K342" s="16122"/>
      <c r="L342" s="10491"/>
      <c r="M342" s="10508"/>
      <c r="N342" s="10508"/>
      <c r="O342" s="10508"/>
      <c r="P342" s="16123"/>
      <c r="Q342" s="16123"/>
      <c r="R342" s="10512"/>
      <c r="S342" s="10518"/>
      <c r="T342" s="10498"/>
      <c r="U342" s="10498"/>
      <c r="V342" s="10519"/>
      <c r="W342" s="10519"/>
      <c r="X342" s="10519"/>
      <c r="Y342" s="10519"/>
      <c r="Z342" s="10519"/>
      <c r="AA342" s="10519"/>
      <c r="AB342" s="10519"/>
      <c r="AC342" s="16128"/>
      <c r="AD342" s="15973"/>
      <c r="AE342" s="16128"/>
      <c r="AF342" s="15973"/>
      <c r="AG342" s="10519"/>
      <c r="AH342" s="10519"/>
      <c r="AI342" s="10519"/>
      <c r="AJ342" s="10519"/>
      <c r="AK342" s="10519"/>
      <c r="AL342" s="10519"/>
      <c r="AM342" s="10519"/>
      <c r="AN342" s="16128"/>
      <c r="AO342" s="15973"/>
      <c r="AP342" s="16147"/>
      <c r="AQ342" s="15973"/>
      <c r="AR342" s="10519"/>
      <c r="AS342" s="10519"/>
      <c r="AT342" s="10519"/>
      <c r="AU342" s="10519"/>
      <c r="AV342" s="10519"/>
      <c r="AW342" s="10519"/>
      <c r="AX342" s="10519"/>
      <c r="AY342" s="16128"/>
      <c r="AZ342" s="15973"/>
      <c r="BA342" s="16128"/>
      <c r="BB342" s="15973"/>
      <c r="BC342" s="10519"/>
      <c r="BD342" s="10519"/>
      <c r="BE342" s="10519"/>
      <c r="BF342" s="10519"/>
      <c r="BG342" s="10519"/>
      <c r="BH342" s="10519"/>
      <c r="BI342" s="10519"/>
      <c r="BJ342" s="16128"/>
      <c r="BK342" s="15973"/>
      <c r="BL342" s="16128"/>
      <c r="BM342" s="15973"/>
      <c r="BN342" s="10519"/>
      <c r="BO342" s="10519"/>
      <c r="BP342" s="10519"/>
      <c r="BQ342" s="10519"/>
      <c r="BR342" s="10519"/>
      <c r="BS342" s="10519"/>
      <c r="BT342" s="10519"/>
      <c r="BU342" s="16128"/>
      <c r="BV342" s="15973"/>
      <c r="BW342" s="16128"/>
      <c r="BX342" s="15973"/>
      <c r="BY342" s="10519"/>
      <c r="BZ342" s="10519"/>
      <c r="CA342" s="10519"/>
      <c r="CB342" s="10519"/>
      <c r="CC342" s="10519"/>
      <c r="CD342" s="10519"/>
      <c r="CE342" s="10519"/>
      <c r="CF342" s="16128"/>
      <c r="CG342" s="15973"/>
      <c r="CH342" s="16128"/>
      <c r="CI342" s="15973"/>
      <c r="CJ342" s="10519"/>
      <c r="CK342" s="10519"/>
      <c r="CL342" s="10519"/>
      <c r="CM342" s="10519"/>
      <c r="CN342" s="10519"/>
      <c r="CO342" s="10519"/>
      <c r="CP342" s="10519"/>
      <c r="CQ342" s="16128"/>
      <c r="CR342" s="15973"/>
      <c r="CS342" s="16128"/>
      <c r="CT342" s="15973"/>
      <c r="CU342" s="10519"/>
      <c r="CV342" s="10519"/>
      <c r="CW342" s="10519"/>
      <c r="CX342" s="10519"/>
      <c r="CY342" s="10519"/>
      <c r="CZ342" s="10519"/>
      <c r="DA342" s="10519"/>
      <c r="DB342" s="16128"/>
      <c r="DC342" s="15973"/>
      <c r="DD342" s="16128"/>
      <c r="DE342" s="15973"/>
      <c r="DF342" s="10519"/>
      <c r="DG342" s="10519"/>
      <c r="DH342" s="10519"/>
      <c r="DI342" s="10519"/>
      <c r="DJ342" s="10519"/>
      <c r="DK342" s="10519"/>
      <c r="DL342" s="10519"/>
      <c r="DM342" s="16128"/>
      <c r="DN342" s="15973"/>
      <c r="DO342" s="16128"/>
      <c r="DP342" s="15973"/>
      <c r="DQ342" s="10519"/>
      <c r="DR342" s="10519"/>
      <c r="DS342" s="10519"/>
      <c r="DT342" s="10519"/>
      <c r="DU342" s="10519"/>
      <c r="DV342" s="10519"/>
      <c r="DW342" s="10519"/>
      <c r="DX342" s="16128"/>
      <c r="DY342" s="15973"/>
      <c r="DZ342" s="16128"/>
      <c r="EA342" s="15973"/>
      <c r="EB342" s="10519"/>
      <c r="EC342" s="10519"/>
      <c r="ED342" s="10519"/>
      <c r="EE342" s="10519"/>
      <c r="EF342" s="10519"/>
      <c r="EG342" s="10519"/>
      <c r="EH342" s="10519"/>
      <c r="EI342" s="16128"/>
      <c r="EJ342" s="15973"/>
      <c r="EK342" s="16128"/>
      <c r="EL342" s="16202"/>
      <c r="EM342" s="14449"/>
      <c r="EN342" s="14449"/>
      <c r="EO342" s="14449"/>
      <c r="EP342" s="14449"/>
      <c r="EQ342" s="14449"/>
      <c r="ER342" s="14449"/>
      <c r="ES342" s="14449"/>
      <c r="ET342" s="16128"/>
      <c r="EU342" s="15973"/>
      <c r="EV342" s="16128"/>
      <c r="EW342" s="15973"/>
      <c r="EX342" s="10520"/>
      <c r="EY342" s="16182"/>
      <c r="EZ342" s="10500"/>
      <c r="FA342" s="10501"/>
      <c r="FB342" s="10501" t="str">
        <f t="shared" si="5"/>
        <v/>
      </c>
      <c r="FC342" s="10501"/>
      <c r="FD342" s="10501"/>
    </row>
    <row r="343" spans="1:160" s="15774" customFormat="1" ht="21" customHeight="1">
      <c r="A343" s="10490"/>
      <c r="B343" s="10490"/>
      <c r="C343" s="10490"/>
      <c r="D343" s="10490"/>
      <c r="E343" s="16125"/>
      <c r="F343" s="16125" t="s">
        <v>92</v>
      </c>
      <c r="G343" s="16125"/>
      <c r="H343" s="16125"/>
      <c r="I343" s="16145"/>
      <c r="J343" s="16122"/>
      <c r="K343" s="10490"/>
      <c r="L343" s="10491"/>
      <c r="M343" s="10508"/>
      <c r="N343" s="10508"/>
      <c r="O343" s="10508"/>
      <c r="P343" s="16123"/>
      <c r="Q343" s="16123"/>
      <c r="R343" s="10510"/>
      <c r="S343" s="13548"/>
      <c r="T343" s="13549" t="s">
        <v>621</v>
      </c>
      <c r="U343" s="13550"/>
      <c r="V343" s="13551"/>
      <c r="W343" s="13552"/>
      <c r="X343" s="13553"/>
      <c r="Y343" s="13554"/>
      <c r="Z343" s="13555"/>
      <c r="AA343" s="13556"/>
      <c r="AB343" s="13557"/>
      <c r="AC343" s="13558"/>
      <c r="AD343" s="13559"/>
      <c r="AE343" s="13560"/>
      <c r="AF343" s="13561"/>
      <c r="AG343" s="13562"/>
      <c r="AH343" s="13563"/>
      <c r="AI343" s="13564"/>
      <c r="AJ343" s="13565"/>
      <c r="AK343" s="13566"/>
      <c r="AL343" s="13567"/>
      <c r="AM343" s="13568"/>
      <c r="AN343" s="13569"/>
      <c r="AO343" s="13570"/>
      <c r="AP343" s="13571"/>
      <c r="AQ343" s="13572"/>
      <c r="AR343" s="13573"/>
      <c r="AS343" s="13574"/>
      <c r="AT343" s="13575"/>
      <c r="AU343" s="13576"/>
      <c r="AV343" s="13577"/>
      <c r="AW343" s="13578"/>
      <c r="AX343" s="13579"/>
      <c r="AY343" s="13580"/>
      <c r="AZ343" s="13581"/>
      <c r="BA343" s="13582"/>
      <c r="BB343" s="13583"/>
      <c r="BC343" s="13584"/>
      <c r="BD343" s="13585"/>
      <c r="BE343" s="13586"/>
      <c r="BF343" s="13587"/>
      <c r="BG343" s="13588"/>
      <c r="BH343" s="13589"/>
      <c r="BI343" s="13590"/>
      <c r="BJ343" s="13591"/>
      <c r="BK343" s="13592"/>
      <c r="BL343" s="13593"/>
      <c r="BM343" s="13594"/>
      <c r="BN343" s="13595"/>
      <c r="BO343" s="13596"/>
      <c r="BP343" s="13597"/>
      <c r="BQ343" s="13598"/>
      <c r="BR343" s="13599"/>
      <c r="BS343" s="13600"/>
      <c r="BT343" s="13601"/>
      <c r="BU343" s="13602"/>
      <c r="BV343" s="13603"/>
      <c r="BW343" s="13604"/>
      <c r="BX343" s="13605"/>
      <c r="BY343" s="13606"/>
      <c r="BZ343" s="13607"/>
      <c r="CA343" s="13608"/>
      <c r="CB343" s="13609"/>
      <c r="CC343" s="13610"/>
      <c r="CD343" s="13611"/>
      <c r="CE343" s="13612"/>
      <c r="CF343" s="13613"/>
      <c r="CG343" s="13614"/>
      <c r="CH343" s="13615"/>
      <c r="CI343" s="13616"/>
      <c r="CJ343" s="13617"/>
      <c r="CK343" s="13618"/>
      <c r="CL343" s="13619"/>
      <c r="CM343" s="13620"/>
      <c r="CN343" s="13621"/>
      <c r="CO343" s="13622"/>
      <c r="CP343" s="13623"/>
      <c r="CQ343" s="13624"/>
      <c r="CR343" s="13625"/>
      <c r="CS343" s="13626"/>
      <c r="CT343" s="13627"/>
      <c r="CU343" s="13628"/>
      <c r="CV343" s="13629"/>
      <c r="CW343" s="13630"/>
      <c r="CX343" s="13631"/>
      <c r="CY343" s="13632"/>
      <c r="CZ343" s="13633"/>
      <c r="DA343" s="13634"/>
      <c r="DB343" s="13635"/>
      <c r="DC343" s="13636"/>
      <c r="DD343" s="13637"/>
      <c r="DE343" s="13638"/>
      <c r="DF343" s="13639"/>
      <c r="DG343" s="13640"/>
      <c r="DH343" s="13641"/>
      <c r="DI343" s="13642"/>
      <c r="DJ343" s="13643"/>
      <c r="DK343" s="13644"/>
      <c r="DL343" s="13645"/>
      <c r="DM343" s="13646"/>
      <c r="DN343" s="13647"/>
      <c r="DO343" s="13648"/>
      <c r="DP343" s="13649"/>
      <c r="DQ343" s="13650"/>
      <c r="DR343" s="13651"/>
      <c r="DS343" s="13652"/>
      <c r="DT343" s="13653"/>
      <c r="DU343" s="13654"/>
      <c r="DV343" s="13655"/>
      <c r="DW343" s="13656"/>
      <c r="DX343" s="13657"/>
      <c r="DY343" s="13658"/>
      <c r="DZ343" s="13659"/>
      <c r="EA343" s="13660"/>
      <c r="EB343" s="13661"/>
      <c r="EC343" s="13662"/>
      <c r="ED343" s="13663"/>
      <c r="EE343" s="13664"/>
      <c r="EF343" s="13665"/>
      <c r="EG343" s="13666"/>
      <c r="EH343" s="13667"/>
      <c r="EI343" s="13668"/>
      <c r="EJ343" s="13669"/>
      <c r="EK343" s="13670"/>
      <c r="EL343" s="13671"/>
      <c r="EM343" s="15775"/>
      <c r="EN343" s="15776"/>
      <c r="EO343" s="15777"/>
      <c r="EP343" s="15778"/>
      <c r="EQ343" s="15779"/>
      <c r="ER343" s="15780"/>
      <c r="ES343" s="15781"/>
      <c r="ET343" s="15782"/>
      <c r="EU343" s="15783"/>
      <c r="EV343" s="15784"/>
      <c r="EW343" s="15785"/>
      <c r="EX343" s="13672"/>
      <c r="EY343" s="10499" t="s">
        <v>622</v>
      </c>
      <c r="EZ343" s="10500"/>
      <c r="FA343" s="10501"/>
      <c r="FB343" s="10501" t="str">
        <f t="shared" si="5"/>
        <v>Добавить значение признака дифференциации</v>
      </c>
      <c r="FC343" s="10501"/>
      <c r="FD343" s="10501"/>
    </row>
    <row r="344" spans="1:160" s="15786" customFormat="1" ht="21" customHeight="1">
      <c r="A344" s="10490"/>
      <c r="B344" s="10490"/>
      <c r="C344" s="10490"/>
      <c r="D344" s="10490"/>
      <c r="E344" s="16125"/>
      <c r="F344" s="16125" t="s">
        <v>92</v>
      </c>
      <c r="G344" s="16125"/>
      <c r="H344" s="16125"/>
      <c r="I344" s="16122"/>
      <c r="J344" s="10490"/>
      <c r="K344" s="10490"/>
      <c r="L344" s="10491"/>
      <c r="M344" s="10508"/>
      <c r="N344" s="10508"/>
      <c r="O344" s="10508"/>
      <c r="P344" s="16123"/>
      <c r="Q344" s="10509"/>
      <c r="R344" s="10510"/>
      <c r="S344" s="13673"/>
      <c r="T344" s="13674" t="s">
        <v>549</v>
      </c>
      <c r="U344" s="13675"/>
      <c r="V344" s="13676"/>
      <c r="W344" s="13677"/>
      <c r="X344" s="13678"/>
      <c r="Y344" s="13679"/>
      <c r="Z344" s="13680"/>
      <c r="AA344" s="13681"/>
      <c r="AB344" s="13682"/>
      <c r="AC344" s="13683"/>
      <c r="AD344" s="13684"/>
      <c r="AE344" s="13685"/>
      <c r="AF344" s="13686"/>
      <c r="AG344" s="13687"/>
      <c r="AH344" s="13688"/>
      <c r="AI344" s="13689"/>
      <c r="AJ344" s="13690"/>
      <c r="AK344" s="13691"/>
      <c r="AL344" s="13692"/>
      <c r="AM344" s="13693"/>
      <c r="AN344" s="13694"/>
      <c r="AO344" s="13695"/>
      <c r="AP344" s="13696"/>
      <c r="AQ344" s="13697"/>
      <c r="AR344" s="13698"/>
      <c r="AS344" s="13699"/>
      <c r="AT344" s="13700"/>
      <c r="AU344" s="13701"/>
      <c r="AV344" s="13702"/>
      <c r="AW344" s="13703"/>
      <c r="AX344" s="13704"/>
      <c r="AY344" s="13705"/>
      <c r="AZ344" s="13706"/>
      <c r="BA344" s="13707"/>
      <c r="BB344" s="13708"/>
      <c r="BC344" s="13709"/>
      <c r="BD344" s="13710"/>
      <c r="BE344" s="13711"/>
      <c r="BF344" s="13712"/>
      <c r="BG344" s="13713"/>
      <c r="BH344" s="13714"/>
      <c r="BI344" s="13715"/>
      <c r="BJ344" s="13716"/>
      <c r="BK344" s="13717"/>
      <c r="BL344" s="13718"/>
      <c r="BM344" s="13719"/>
      <c r="BN344" s="13720"/>
      <c r="BO344" s="13721"/>
      <c r="BP344" s="13722"/>
      <c r="BQ344" s="13723"/>
      <c r="BR344" s="13724"/>
      <c r="BS344" s="13725"/>
      <c r="BT344" s="13726"/>
      <c r="BU344" s="13727"/>
      <c r="BV344" s="13728"/>
      <c r="BW344" s="13729"/>
      <c r="BX344" s="13730"/>
      <c r="BY344" s="13731"/>
      <c r="BZ344" s="13732"/>
      <c r="CA344" s="13733"/>
      <c r="CB344" s="13734"/>
      <c r="CC344" s="13735"/>
      <c r="CD344" s="13736"/>
      <c r="CE344" s="13737"/>
      <c r="CF344" s="13738"/>
      <c r="CG344" s="13739"/>
      <c r="CH344" s="13740"/>
      <c r="CI344" s="13741"/>
      <c r="CJ344" s="13742"/>
      <c r="CK344" s="13743"/>
      <c r="CL344" s="13744"/>
      <c r="CM344" s="13745"/>
      <c r="CN344" s="13746"/>
      <c r="CO344" s="13747"/>
      <c r="CP344" s="13748"/>
      <c r="CQ344" s="13749"/>
      <c r="CR344" s="13750"/>
      <c r="CS344" s="13751"/>
      <c r="CT344" s="13752"/>
      <c r="CU344" s="13753"/>
      <c r="CV344" s="13754"/>
      <c r="CW344" s="13755"/>
      <c r="CX344" s="13756"/>
      <c r="CY344" s="13757"/>
      <c r="CZ344" s="13758"/>
      <c r="DA344" s="13759"/>
      <c r="DB344" s="13760"/>
      <c r="DC344" s="13761"/>
      <c r="DD344" s="13762"/>
      <c r="DE344" s="13763"/>
      <c r="DF344" s="13764"/>
      <c r="DG344" s="13765"/>
      <c r="DH344" s="13766"/>
      <c r="DI344" s="13767"/>
      <c r="DJ344" s="13768"/>
      <c r="DK344" s="13769"/>
      <c r="DL344" s="13770"/>
      <c r="DM344" s="13771"/>
      <c r="DN344" s="13772"/>
      <c r="DO344" s="13773"/>
      <c r="DP344" s="13774"/>
      <c r="DQ344" s="13775"/>
      <c r="DR344" s="13776"/>
      <c r="DS344" s="13777"/>
      <c r="DT344" s="13778"/>
      <c r="DU344" s="13779"/>
      <c r="DV344" s="13780"/>
      <c r="DW344" s="13781"/>
      <c r="DX344" s="13782"/>
      <c r="DY344" s="13783"/>
      <c r="DZ344" s="13784"/>
      <c r="EA344" s="13785"/>
      <c r="EB344" s="13786"/>
      <c r="EC344" s="13787"/>
      <c r="ED344" s="13788"/>
      <c r="EE344" s="13789"/>
      <c r="EF344" s="13790"/>
      <c r="EG344" s="13791"/>
      <c r="EH344" s="13792"/>
      <c r="EI344" s="13793"/>
      <c r="EJ344" s="13794"/>
      <c r="EK344" s="13795"/>
      <c r="EL344" s="13796"/>
      <c r="EM344" s="15787"/>
      <c r="EN344" s="15788"/>
      <c r="EO344" s="15789"/>
      <c r="EP344" s="15790"/>
      <c r="EQ344" s="15791"/>
      <c r="ER344" s="15792"/>
      <c r="ES344" s="15793"/>
      <c r="ET344" s="15794"/>
      <c r="EU344" s="15795"/>
      <c r="EV344" s="15796"/>
      <c r="EW344" s="15797"/>
      <c r="EX344" s="13797"/>
      <c r="EY344" s="13798"/>
      <c r="EZ344" s="10500"/>
      <c r="FA344" s="10501"/>
      <c r="FB344" s="10501" t="str">
        <f t="shared" si="5"/>
        <v>Добавить группу потребителей</v>
      </c>
      <c r="FC344" s="10501"/>
      <c r="FD344" s="10501"/>
    </row>
    <row r="345" spans="1:160" s="15798" customFormat="1" ht="21" customHeight="1">
      <c r="A345" s="10490"/>
      <c r="B345" s="10490"/>
      <c r="C345" s="10490"/>
      <c r="D345" s="10490"/>
      <c r="E345" s="16125"/>
      <c r="F345" s="16125" t="s">
        <v>92</v>
      </c>
      <c r="G345" s="16125"/>
      <c r="H345" s="16124"/>
      <c r="I345" s="10490"/>
      <c r="J345" s="10490"/>
      <c r="K345" s="10490"/>
      <c r="L345" s="10491"/>
      <c r="M345" s="10492"/>
      <c r="N345" s="10492"/>
      <c r="O345" s="10772"/>
      <c r="P345" s="10494"/>
      <c r="Q345" s="10773"/>
      <c r="R345" s="10495"/>
      <c r="S345" s="13799"/>
      <c r="T345" s="13800" t="s">
        <v>623</v>
      </c>
      <c r="U345" s="13801"/>
      <c r="V345" s="13802"/>
      <c r="W345" s="13803"/>
      <c r="X345" s="13804"/>
      <c r="Y345" s="13805"/>
      <c r="Z345" s="13806"/>
      <c r="AA345" s="13807"/>
      <c r="AB345" s="13808"/>
      <c r="AC345" s="13809"/>
      <c r="AD345" s="13810"/>
      <c r="AE345" s="13811"/>
      <c r="AF345" s="13812"/>
      <c r="AG345" s="13813"/>
      <c r="AH345" s="13814"/>
      <c r="AI345" s="13815"/>
      <c r="AJ345" s="13816"/>
      <c r="AK345" s="13817"/>
      <c r="AL345" s="13818"/>
      <c r="AM345" s="13819"/>
      <c r="AN345" s="13820"/>
      <c r="AO345" s="13821"/>
      <c r="AP345" s="13822"/>
      <c r="AQ345" s="13823"/>
      <c r="AR345" s="13824"/>
      <c r="AS345" s="13825"/>
      <c r="AT345" s="13826"/>
      <c r="AU345" s="13827"/>
      <c r="AV345" s="13828"/>
      <c r="AW345" s="13829"/>
      <c r="AX345" s="13830"/>
      <c r="AY345" s="13831"/>
      <c r="AZ345" s="13832"/>
      <c r="BA345" s="13833"/>
      <c r="BB345" s="13834"/>
      <c r="BC345" s="13835"/>
      <c r="BD345" s="13836"/>
      <c r="BE345" s="13837"/>
      <c r="BF345" s="13838"/>
      <c r="BG345" s="13839"/>
      <c r="BH345" s="13840"/>
      <c r="BI345" s="13841"/>
      <c r="BJ345" s="13842"/>
      <c r="BK345" s="13843"/>
      <c r="BL345" s="13844"/>
      <c r="BM345" s="13845"/>
      <c r="BN345" s="13846"/>
      <c r="BO345" s="13847"/>
      <c r="BP345" s="13848"/>
      <c r="BQ345" s="13849"/>
      <c r="BR345" s="13850"/>
      <c r="BS345" s="13851"/>
      <c r="BT345" s="13852"/>
      <c r="BU345" s="13853"/>
      <c r="BV345" s="13854"/>
      <c r="BW345" s="13855"/>
      <c r="BX345" s="13856"/>
      <c r="BY345" s="13857"/>
      <c r="BZ345" s="13858"/>
      <c r="CA345" s="13859"/>
      <c r="CB345" s="13860"/>
      <c r="CC345" s="13861"/>
      <c r="CD345" s="13862"/>
      <c r="CE345" s="13863"/>
      <c r="CF345" s="13864"/>
      <c r="CG345" s="13865"/>
      <c r="CH345" s="13866"/>
      <c r="CI345" s="13867"/>
      <c r="CJ345" s="13868"/>
      <c r="CK345" s="13869"/>
      <c r="CL345" s="13870"/>
      <c r="CM345" s="13871"/>
      <c r="CN345" s="13872"/>
      <c r="CO345" s="13873"/>
      <c r="CP345" s="13874"/>
      <c r="CQ345" s="13875"/>
      <c r="CR345" s="13876"/>
      <c r="CS345" s="13877"/>
      <c r="CT345" s="13878"/>
      <c r="CU345" s="13879"/>
      <c r="CV345" s="13880"/>
      <c r="CW345" s="13881"/>
      <c r="CX345" s="13882"/>
      <c r="CY345" s="13883"/>
      <c r="CZ345" s="13884"/>
      <c r="DA345" s="13885"/>
      <c r="DB345" s="13886"/>
      <c r="DC345" s="13887"/>
      <c r="DD345" s="13888"/>
      <c r="DE345" s="13889"/>
      <c r="DF345" s="13890"/>
      <c r="DG345" s="13891"/>
      <c r="DH345" s="13892"/>
      <c r="DI345" s="13893"/>
      <c r="DJ345" s="13894"/>
      <c r="DK345" s="13895"/>
      <c r="DL345" s="13896"/>
      <c r="DM345" s="13897"/>
      <c r="DN345" s="13898"/>
      <c r="DO345" s="13899"/>
      <c r="DP345" s="13900"/>
      <c r="DQ345" s="13901"/>
      <c r="DR345" s="13902"/>
      <c r="DS345" s="13903"/>
      <c r="DT345" s="13904"/>
      <c r="DU345" s="13905"/>
      <c r="DV345" s="13906"/>
      <c r="DW345" s="13907"/>
      <c r="DX345" s="13908"/>
      <c r="DY345" s="13909"/>
      <c r="DZ345" s="13910"/>
      <c r="EA345" s="13911"/>
      <c r="EB345" s="13912"/>
      <c r="EC345" s="13913"/>
      <c r="ED345" s="13914"/>
      <c r="EE345" s="13915"/>
      <c r="EF345" s="13916"/>
      <c r="EG345" s="13917"/>
      <c r="EH345" s="13918"/>
      <c r="EI345" s="13919"/>
      <c r="EJ345" s="13920"/>
      <c r="EK345" s="13921"/>
      <c r="EL345" s="13922"/>
      <c r="EM345" s="15799"/>
      <c r="EN345" s="15800"/>
      <c r="EO345" s="15801"/>
      <c r="EP345" s="15802"/>
      <c r="EQ345" s="15803"/>
      <c r="ER345" s="15804"/>
      <c r="ES345" s="15805"/>
      <c r="ET345" s="15806"/>
      <c r="EU345" s="15807"/>
      <c r="EV345" s="15808"/>
      <c r="EW345" s="15809"/>
      <c r="EX345" s="13923"/>
      <c r="EY345" s="13924"/>
      <c r="EZ345" s="10500"/>
      <c r="FA345" s="10501"/>
      <c r="FB345" s="10501" t="str">
        <f t="shared" si="5"/>
        <v>Добавить наименование признака дифференциации</v>
      </c>
      <c r="FC345" s="10501"/>
      <c r="FD345" s="10501"/>
    </row>
    <row r="346" spans="1:160" s="15810" customFormat="1" ht="14.25" customHeight="1">
      <c r="A346" s="11277"/>
      <c r="B346" s="11277"/>
      <c r="C346" s="11277"/>
      <c r="D346" s="11277"/>
      <c r="E346" s="16125"/>
      <c r="F346" s="16124" t="s">
        <v>92</v>
      </c>
      <c r="G346" s="11277"/>
      <c r="H346" s="11277"/>
      <c r="I346" s="11277"/>
      <c r="J346" s="11277"/>
      <c r="K346" s="11277"/>
      <c r="L346" s="11278"/>
      <c r="M346" s="11279"/>
      <c r="N346" s="11279"/>
      <c r="O346" s="10500"/>
      <c r="P346" s="11280"/>
      <c r="Q346" s="11281"/>
      <c r="R346" s="11280"/>
      <c r="S346" s="11282"/>
      <c r="T346" s="11283" t="s">
        <v>290</v>
      </c>
      <c r="U346" s="11284"/>
      <c r="V346" s="11284"/>
      <c r="W346" s="11284"/>
      <c r="X346" s="11284"/>
      <c r="Y346" s="11284"/>
      <c r="Z346" s="11284"/>
      <c r="AA346" s="11284"/>
      <c r="AB346" s="11284"/>
      <c r="AC346" s="11284"/>
      <c r="AD346" s="11284"/>
      <c r="AE346" s="11284"/>
      <c r="AF346" s="11284"/>
      <c r="AG346" s="11284"/>
      <c r="AH346" s="11284"/>
      <c r="AI346" s="11284"/>
      <c r="AJ346" s="11284"/>
      <c r="AK346" s="11284"/>
      <c r="AL346" s="11284"/>
      <c r="AM346" s="11284"/>
      <c r="AN346" s="11284"/>
      <c r="AO346" s="11284"/>
      <c r="AP346" s="11284"/>
      <c r="AQ346" s="11284"/>
      <c r="AR346" s="11284"/>
      <c r="AS346" s="11284"/>
      <c r="AT346" s="11284"/>
      <c r="AU346" s="11284"/>
      <c r="AV346" s="11284"/>
      <c r="AW346" s="11284"/>
      <c r="AX346" s="11284"/>
      <c r="AY346" s="11284"/>
      <c r="AZ346" s="11284"/>
      <c r="BA346" s="11284"/>
      <c r="BB346" s="11284"/>
      <c r="BC346" s="11284"/>
      <c r="BD346" s="11284"/>
      <c r="BE346" s="11284"/>
      <c r="BF346" s="11284"/>
      <c r="BG346" s="11284"/>
      <c r="BH346" s="11284"/>
      <c r="BI346" s="11284"/>
      <c r="BJ346" s="11284"/>
      <c r="BK346" s="11284"/>
      <c r="BL346" s="11284"/>
      <c r="BM346" s="11284"/>
      <c r="BN346" s="11284"/>
      <c r="BO346" s="11284"/>
      <c r="BP346" s="11284"/>
      <c r="BQ346" s="11284"/>
      <c r="BR346" s="11284"/>
      <c r="BS346" s="11284"/>
      <c r="BT346" s="11284"/>
      <c r="BU346" s="11284"/>
      <c r="BV346" s="11284"/>
      <c r="BW346" s="11284"/>
      <c r="BX346" s="11284"/>
      <c r="BY346" s="11284"/>
      <c r="BZ346" s="11284"/>
      <c r="CA346" s="11284"/>
      <c r="CB346" s="11284"/>
      <c r="CC346" s="11284"/>
      <c r="CD346" s="11284"/>
      <c r="CE346" s="11284"/>
      <c r="CF346" s="11284"/>
      <c r="CG346" s="11284"/>
      <c r="CH346" s="11284"/>
      <c r="CI346" s="11284"/>
      <c r="CJ346" s="11284"/>
      <c r="CK346" s="11284"/>
      <c r="CL346" s="11284"/>
      <c r="CM346" s="11284"/>
      <c r="CN346" s="11284"/>
      <c r="CO346" s="11284"/>
      <c r="CP346" s="11284"/>
      <c r="CQ346" s="11284"/>
      <c r="CR346" s="11284"/>
      <c r="CS346" s="11284"/>
      <c r="CT346" s="11284"/>
      <c r="CU346" s="11284"/>
      <c r="CV346" s="11284"/>
      <c r="CW346" s="11284"/>
      <c r="CX346" s="11284"/>
      <c r="CY346" s="11284"/>
      <c r="CZ346" s="11284"/>
      <c r="DA346" s="11284"/>
      <c r="DB346" s="11284"/>
      <c r="DC346" s="11284"/>
      <c r="DD346" s="11284"/>
      <c r="DE346" s="11284"/>
      <c r="DF346" s="11284"/>
      <c r="DG346" s="11284"/>
      <c r="DH346" s="11284"/>
      <c r="DI346" s="11284"/>
      <c r="DJ346" s="11284"/>
      <c r="DK346" s="11284"/>
      <c r="DL346" s="11284"/>
      <c r="DM346" s="11284"/>
      <c r="DN346" s="11284"/>
      <c r="DO346" s="11284"/>
      <c r="DP346" s="11284"/>
      <c r="DQ346" s="11284"/>
      <c r="DR346" s="11284"/>
      <c r="DS346" s="11284"/>
      <c r="DT346" s="11284"/>
      <c r="DU346" s="11284"/>
      <c r="DV346" s="11284"/>
      <c r="DW346" s="11284"/>
      <c r="DX346" s="11284"/>
      <c r="DY346" s="11284"/>
      <c r="DZ346" s="11284"/>
      <c r="EA346" s="11284"/>
      <c r="EB346" s="11284"/>
      <c r="EC346" s="11284"/>
      <c r="ED346" s="11284"/>
      <c r="EE346" s="11284"/>
      <c r="EF346" s="11284"/>
      <c r="EG346" s="11284"/>
      <c r="EH346" s="11284"/>
      <c r="EI346" s="11284"/>
      <c r="EJ346" s="11284"/>
      <c r="EK346" s="11284"/>
      <c r="EL346" s="11285"/>
      <c r="EM346" s="14483"/>
      <c r="EN346" s="14483"/>
      <c r="EO346" s="14483"/>
      <c r="EP346" s="14483"/>
      <c r="EQ346" s="14483"/>
      <c r="ER346" s="14483"/>
      <c r="ES346" s="14483"/>
      <c r="ET346" s="14483"/>
      <c r="EU346" s="14483"/>
      <c r="EV346" s="14483"/>
      <c r="EW346" s="14483"/>
      <c r="EX346" s="11284"/>
      <c r="EY346" s="11284"/>
      <c r="EZ346" s="10500"/>
      <c r="FA346" s="10501"/>
      <c r="FB346" s="10501" t="str">
        <f t="shared" si="5"/>
        <v>Добавить централизованную систему для дифференциации</v>
      </c>
      <c r="FC346" s="10501"/>
      <c r="FD346" s="10501"/>
    </row>
    <row r="347" spans="1:160" s="15811" customFormat="1" ht="23.25" customHeight="1">
      <c r="A347" s="10490"/>
      <c r="B347" s="10490" t="s">
        <v>387</v>
      </c>
      <c r="C347" s="10490"/>
      <c r="D347" s="10490"/>
      <c r="E347" s="16125"/>
      <c r="F347" s="16124" t="s">
        <v>136</v>
      </c>
      <c r="G347" s="10490"/>
      <c r="H347" s="10490"/>
      <c r="I347" s="10490"/>
      <c r="J347" s="10490"/>
      <c r="K347" s="10490"/>
      <c r="L347" s="10491"/>
      <c r="M347" s="10492"/>
      <c r="N347" s="10492"/>
      <c r="O347" s="10492"/>
      <c r="P347" s="10502"/>
      <c r="Q347" s="10503"/>
      <c r="R347" s="10504"/>
      <c r="S347" s="10496" t="str">
        <f>INDEX(PT_DIFFERENTIATION_NUM_TER,MATCH(B347,PT_DIFFERENTIATION_TER_ID,0))</f>
        <v>3.9</v>
      </c>
      <c r="T347" s="10505" t="s">
        <v>534</v>
      </c>
      <c r="U347" s="10498"/>
      <c r="V347" s="16110"/>
      <c r="W347" s="16111"/>
      <c r="X347" s="16111"/>
      <c r="Y347" s="16111"/>
      <c r="Z347" s="16111"/>
      <c r="AA347" s="16111"/>
      <c r="AB347" s="16111"/>
      <c r="AC347" s="16111"/>
      <c r="AD347" s="16111"/>
      <c r="AE347" s="16111"/>
      <c r="AF347" s="16112"/>
      <c r="AG347" s="16110" t="str">
        <f>INDEX(PT_DIFFERENTIATION_TER,MATCH(B347,PT_DIFFERENTIATION_TER_ID,0))</f>
        <v>Территория 9</v>
      </c>
      <c r="AH347" s="16111"/>
      <c r="AI347" s="16111"/>
      <c r="AJ347" s="16111"/>
      <c r="AK347" s="16111"/>
      <c r="AL347" s="16111"/>
      <c r="AM347" s="16111"/>
      <c r="AN347" s="16111"/>
      <c r="AO347" s="16111"/>
      <c r="AP347" s="16111"/>
      <c r="AQ347" s="16111"/>
      <c r="AR347" s="16110"/>
      <c r="AS347" s="16111"/>
      <c r="AT347" s="16111"/>
      <c r="AU347" s="16111"/>
      <c r="AV347" s="16111"/>
      <c r="AW347" s="16111"/>
      <c r="AX347" s="16111"/>
      <c r="AY347" s="16111"/>
      <c r="AZ347" s="16111"/>
      <c r="BA347" s="16111"/>
      <c r="BB347" s="16112"/>
      <c r="BC347" s="16110"/>
      <c r="BD347" s="16111"/>
      <c r="BE347" s="16111"/>
      <c r="BF347" s="16111"/>
      <c r="BG347" s="16111"/>
      <c r="BH347" s="16111"/>
      <c r="BI347" s="16111"/>
      <c r="BJ347" s="16111"/>
      <c r="BK347" s="16111"/>
      <c r="BL347" s="16111"/>
      <c r="BM347" s="16112"/>
      <c r="BN347" s="16110"/>
      <c r="BO347" s="16111"/>
      <c r="BP347" s="16111"/>
      <c r="BQ347" s="16111"/>
      <c r="BR347" s="16111"/>
      <c r="BS347" s="16111"/>
      <c r="BT347" s="16111"/>
      <c r="BU347" s="16111"/>
      <c r="BV347" s="16111"/>
      <c r="BW347" s="16111"/>
      <c r="BX347" s="16112"/>
      <c r="BY347" s="16110"/>
      <c r="BZ347" s="16111"/>
      <c r="CA347" s="16111"/>
      <c r="CB347" s="16111"/>
      <c r="CC347" s="16111"/>
      <c r="CD347" s="16111"/>
      <c r="CE347" s="16111"/>
      <c r="CF347" s="16111"/>
      <c r="CG347" s="16111"/>
      <c r="CH347" s="16111"/>
      <c r="CI347" s="16112"/>
      <c r="CJ347" s="16110"/>
      <c r="CK347" s="16111"/>
      <c r="CL347" s="16111"/>
      <c r="CM347" s="16111"/>
      <c r="CN347" s="16111"/>
      <c r="CO347" s="16111"/>
      <c r="CP347" s="16111"/>
      <c r="CQ347" s="16111"/>
      <c r="CR347" s="16111"/>
      <c r="CS347" s="16111"/>
      <c r="CT347" s="16112"/>
      <c r="CU347" s="16110"/>
      <c r="CV347" s="16111"/>
      <c r="CW347" s="16111"/>
      <c r="CX347" s="16111"/>
      <c r="CY347" s="16111"/>
      <c r="CZ347" s="16111"/>
      <c r="DA347" s="16111"/>
      <c r="DB347" s="16111"/>
      <c r="DC347" s="16111"/>
      <c r="DD347" s="16111"/>
      <c r="DE347" s="16112"/>
      <c r="DF347" s="16110"/>
      <c r="DG347" s="16111"/>
      <c r="DH347" s="16111"/>
      <c r="DI347" s="16111"/>
      <c r="DJ347" s="16111"/>
      <c r="DK347" s="16111"/>
      <c r="DL347" s="16111"/>
      <c r="DM347" s="16111"/>
      <c r="DN347" s="16111"/>
      <c r="DO347" s="16111"/>
      <c r="DP347" s="16112"/>
      <c r="DQ347" s="16110"/>
      <c r="DR347" s="16111"/>
      <c r="DS347" s="16111"/>
      <c r="DT347" s="16111"/>
      <c r="DU347" s="16111"/>
      <c r="DV347" s="16111"/>
      <c r="DW347" s="16111"/>
      <c r="DX347" s="16111"/>
      <c r="DY347" s="16111"/>
      <c r="DZ347" s="16111"/>
      <c r="EA347" s="16112"/>
      <c r="EB347" s="16110"/>
      <c r="EC347" s="16111"/>
      <c r="ED347" s="16111"/>
      <c r="EE347" s="16111"/>
      <c r="EF347" s="16111"/>
      <c r="EG347" s="16111"/>
      <c r="EH347" s="16111"/>
      <c r="EI347" s="16111"/>
      <c r="EJ347" s="16111"/>
      <c r="EK347" s="16111"/>
      <c r="EL347" s="16199"/>
      <c r="EM347" s="16110"/>
      <c r="EN347" s="16111"/>
      <c r="EO347" s="16111"/>
      <c r="EP347" s="16111"/>
      <c r="EQ347" s="16111"/>
      <c r="ER347" s="16111"/>
      <c r="ES347" s="16111"/>
      <c r="ET347" s="16111"/>
      <c r="EU347" s="16111"/>
      <c r="EV347" s="16111"/>
      <c r="EW347" s="16112"/>
      <c r="EX347" s="16112"/>
      <c r="EY347" s="10499" t="s">
        <v>535</v>
      </c>
      <c r="EZ347" s="10500"/>
      <c r="FA347" s="10501"/>
      <c r="FB347" s="10501" t="str">
        <f t="shared" si="5"/>
        <v>Территория действия тарифа</v>
      </c>
      <c r="FC347" s="10501"/>
      <c r="FD347" s="10501"/>
    </row>
    <row r="348" spans="1:160" s="15812" customFormat="1" ht="23.25" customHeight="1">
      <c r="A348" s="10490"/>
      <c r="B348" s="10490"/>
      <c r="C348" s="10490" t="s">
        <v>388</v>
      </c>
      <c r="D348" s="10490"/>
      <c r="E348" s="16125"/>
      <c r="F348" s="16125" t="s">
        <v>132</v>
      </c>
      <c r="G348" s="16124">
        <v>1</v>
      </c>
      <c r="H348" s="10490"/>
      <c r="I348" s="10490"/>
      <c r="J348" s="10490"/>
      <c r="K348" s="10490"/>
      <c r="L348" s="10491"/>
      <c r="M348" s="10492"/>
      <c r="N348" s="10492"/>
      <c r="O348" s="10492"/>
      <c r="P348" s="10506"/>
      <c r="Q348" s="10503"/>
      <c r="R348" s="10504"/>
      <c r="S348" s="10496" t="str">
        <f>INDEX(PT_DIFFERENTIATION_NUM_CS,MATCH(C348,PT_DIFFERENTIATION_CS_ID,0))</f>
        <v>3.9.1</v>
      </c>
      <c r="T348" s="10507" t="s">
        <v>665</v>
      </c>
      <c r="U348" s="10498"/>
      <c r="V348" s="16110"/>
      <c r="W348" s="16111"/>
      <c r="X348" s="16111"/>
      <c r="Y348" s="16111"/>
      <c r="Z348" s="16111"/>
      <c r="AA348" s="16111"/>
      <c r="AB348" s="16111"/>
      <c r="AC348" s="16111"/>
      <c r="AD348" s="16111"/>
      <c r="AE348" s="16111"/>
      <c r="AF348" s="16112"/>
      <c r="AG348" s="16110" t="str">
        <f>INDEX(PT_DIFFERENTIATION_CS,MATCH(C348,PT_DIFFERENTIATION_CS_ID,0))</f>
        <v>н.п. Лейпи</v>
      </c>
      <c r="AH348" s="16111"/>
      <c r="AI348" s="16111"/>
      <c r="AJ348" s="16111"/>
      <c r="AK348" s="16111"/>
      <c r="AL348" s="16111"/>
      <c r="AM348" s="16111"/>
      <c r="AN348" s="16111"/>
      <c r="AO348" s="16111"/>
      <c r="AP348" s="16111"/>
      <c r="AQ348" s="16111"/>
      <c r="AR348" s="16110"/>
      <c r="AS348" s="16111"/>
      <c r="AT348" s="16111"/>
      <c r="AU348" s="16111"/>
      <c r="AV348" s="16111"/>
      <c r="AW348" s="16111"/>
      <c r="AX348" s="16111"/>
      <c r="AY348" s="16111"/>
      <c r="AZ348" s="16111"/>
      <c r="BA348" s="16111"/>
      <c r="BB348" s="16112"/>
      <c r="BC348" s="16110"/>
      <c r="BD348" s="16111"/>
      <c r="BE348" s="16111"/>
      <c r="BF348" s="16111"/>
      <c r="BG348" s="16111"/>
      <c r="BH348" s="16111"/>
      <c r="BI348" s="16111"/>
      <c r="BJ348" s="16111"/>
      <c r="BK348" s="16111"/>
      <c r="BL348" s="16111"/>
      <c r="BM348" s="16112"/>
      <c r="BN348" s="16110"/>
      <c r="BO348" s="16111"/>
      <c r="BP348" s="16111"/>
      <c r="BQ348" s="16111"/>
      <c r="BR348" s="16111"/>
      <c r="BS348" s="16111"/>
      <c r="BT348" s="16111"/>
      <c r="BU348" s="16111"/>
      <c r="BV348" s="16111"/>
      <c r="BW348" s="16111"/>
      <c r="BX348" s="16112"/>
      <c r="BY348" s="16110"/>
      <c r="BZ348" s="16111"/>
      <c r="CA348" s="16111"/>
      <c r="CB348" s="16111"/>
      <c r="CC348" s="16111"/>
      <c r="CD348" s="16111"/>
      <c r="CE348" s="16111"/>
      <c r="CF348" s="16111"/>
      <c r="CG348" s="16111"/>
      <c r="CH348" s="16111"/>
      <c r="CI348" s="16112"/>
      <c r="CJ348" s="16110"/>
      <c r="CK348" s="16111"/>
      <c r="CL348" s="16111"/>
      <c r="CM348" s="16111"/>
      <c r="CN348" s="16111"/>
      <c r="CO348" s="16111"/>
      <c r="CP348" s="16111"/>
      <c r="CQ348" s="16111"/>
      <c r="CR348" s="16111"/>
      <c r="CS348" s="16111"/>
      <c r="CT348" s="16112"/>
      <c r="CU348" s="16110"/>
      <c r="CV348" s="16111"/>
      <c r="CW348" s="16111"/>
      <c r="CX348" s="16111"/>
      <c r="CY348" s="16111"/>
      <c r="CZ348" s="16111"/>
      <c r="DA348" s="16111"/>
      <c r="DB348" s="16111"/>
      <c r="DC348" s="16111"/>
      <c r="DD348" s="16111"/>
      <c r="DE348" s="16112"/>
      <c r="DF348" s="16110"/>
      <c r="DG348" s="16111"/>
      <c r="DH348" s="16111"/>
      <c r="DI348" s="16111"/>
      <c r="DJ348" s="16111"/>
      <c r="DK348" s="16111"/>
      <c r="DL348" s="16111"/>
      <c r="DM348" s="16111"/>
      <c r="DN348" s="16111"/>
      <c r="DO348" s="16111"/>
      <c r="DP348" s="16112"/>
      <c r="DQ348" s="16110"/>
      <c r="DR348" s="16111"/>
      <c r="DS348" s="16111"/>
      <c r="DT348" s="16111"/>
      <c r="DU348" s="16111"/>
      <c r="DV348" s="16111"/>
      <c r="DW348" s="16111"/>
      <c r="DX348" s="16111"/>
      <c r="DY348" s="16111"/>
      <c r="DZ348" s="16111"/>
      <c r="EA348" s="16112"/>
      <c r="EB348" s="16110"/>
      <c r="EC348" s="16111"/>
      <c r="ED348" s="16111"/>
      <c r="EE348" s="16111"/>
      <c r="EF348" s="16111"/>
      <c r="EG348" s="16111"/>
      <c r="EH348" s="16111"/>
      <c r="EI348" s="16111"/>
      <c r="EJ348" s="16111"/>
      <c r="EK348" s="16111"/>
      <c r="EL348" s="16199"/>
      <c r="EM348" s="16110"/>
      <c r="EN348" s="16111"/>
      <c r="EO348" s="16111"/>
      <c r="EP348" s="16111"/>
      <c r="EQ348" s="16111"/>
      <c r="ER348" s="16111"/>
      <c r="ES348" s="16111"/>
      <c r="ET348" s="16111"/>
      <c r="EU348" s="16111"/>
      <c r="EV348" s="16111"/>
      <c r="EW348" s="16112"/>
      <c r="EX348" s="16112"/>
      <c r="EY348" s="10499" t="s">
        <v>666</v>
      </c>
      <c r="EZ348" s="10500"/>
      <c r="FA348" s="10501"/>
      <c r="FB348" s="10501" t="str">
        <f t="shared" si="5"/>
        <v>Наименование централизованной системы горячего водоснабжения</v>
      </c>
      <c r="FC348" s="10501"/>
      <c r="FD348" s="10501"/>
    </row>
    <row r="349" spans="1:160" s="15813" customFormat="1" ht="23.25" customHeight="1">
      <c r="A349" s="10490"/>
      <c r="B349" s="10490"/>
      <c r="C349" s="10490"/>
      <c r="D349" s="10490"/>
      <c r="E349" s="16125"/>
      <c r="F349" s="16125" t="s">
        <v>132</v>
      </c>
      <c r="G349" s="16125"/>
      <c r="H349" s="16125"/>
      <c r="I349" s="16122" t="str">
        <f>S348&amp;".1"</f>
        <v>3.9.1.1</v>
      </c>
      <c r="J349" s="10490"/>
      <c r="K349" s="10490"/>
      <c r="L349" s="10491"/>
      <c r="M349" s="10508"/>
      <c r="N349" s="10508"/>
      <c r="O349" s="10508"/>
      <c r="P349" s="16123">
        <v>1</v>
      </c>
      <c r="Q349" s="10509"/>
      <c r="R349" s="10510"/>
      <c r="S349" s="10496" t="str">
        <f>$I349</f>
        <v>3.9.1.1</v>
      </c>
      <c r="T349" s="10511" t="s">
        <v>618</v>
      </c>
      <c r="U349" s="10498"/>
      <c r="V349" s="16183"/>
      <c r="W349" s="16184"/>
      <c r="X349" s="16184"/>
      <c r="Y349" s="16184"/>
      <c r="Z349" s="16184"/>
      <c r="AA349" s="16184"/>
      <c r="AB349" s="16184"/>
      <c r="AC349" s="16184"/>
      <c r="AD349" s="16184"/>
      <c r="AE349" s="16184"/>
      <c r="AF349" s="16185"/>
      <c r="AG349" s="16186"/>
      <c r="AH349" s="16187"/>
      <c r="AI349" s="16187"/>
      <c r="AJ349" s="16187"/>
      <c r="AK349" s="16187"/>
      <c r="AL349" s="16187"/>
      <c r="AM349" s="16187"/>
      <c r="AN349" s="16187"/>
      <c r="AO349" s="16187"/>
      <c r="AP349" s="16187"/>
      <c r="AQ349" s="16187"/>
      <c r="AR349" s="16183"/>
      <c r="AS349" s="16184"/>
      <c r="AT349" s="16184"/>
      <c r="AU349" s="16184"/>
      <c r="AV349" s="16184"/>
      <c r="AW349" s="16184"/>
      <c r="AX349" s="16184"/>
      <c r="AY349" s="16184"/>
      <c r="AZ349" s="16184"/>
      <c r="BA349" s="16184"/>
      <c r="BB349" s="16185"/>
      <c r="BC349" s="16183"/>
      <c r="BD349" s="16184"/>
      <c r="BE349" s="16184"/>
      <c r="BF349" s="16184"/>
      <c r="BG349" s="16184"/>
      <c r="BH349" s="16184"/>
      <c r="BI349" s="16184"/>
      <c r="BJ349" s="16184"/>
      <c r="BK349" s="16184"/>
      <c r="BL349" s="16184"/>
      <c r="BM349" s="16185"/>
      <c r="BN349" s="16183"/>
      <c r="BO349" s="16184"/>
      <c r="BP349" s="16184"/>
      <c r="BQ349" s="16184"/>
      <c r="BR349" s="16184"/>
      <c r="BS349" s="16184"/>
      <c r="BT349" s="16184"/>
      <c r="BU349" s="16184"/>
      <c r="BV349" s="16184"/>
      <c r="BW349" s="16184"/>
      <c r="BX349" s="16185"/>
      <c r="BY349" s="16183"/>
      <c r="BZ349" s="16184"/>
      <c r="CA349" s="16184"/>
      <c r="CB349" s="16184"/>
      <c r="CC349" s="16184"/>
      <c r="CD349" s="16184"/>
      <c r="CE349" s="16184"/>
      <c r="CF349" s="16184"/>
      <c r="CG349" s="16184"/>
      <c r="CH349" s="16184"/>
      <c r="CI349" s="16185"/>
      <c r="CJ349" s="16183"/>
      <c r="CK349" s="16184"/>
      <c r="CL349" s="16184"/>
      <c r="CM349" s="16184"/>
      <c r="CN349" s="16184"/>
      <c r="CO349" s="16184"/>
      <c r="CP349" s="16184"/>
      <c r="CQ349" s="16184"/>
      <c r="CR349" s="16184"/>
      <c r="CS349" s="16184"/>
      <c r="CT349" s="16185"/>
      <c r="CU349" s="16183"/>
      <c r="CV349" s="16184"/>
      <c r="CW349" s="16184"/>
      <c r="CX349" s="16184"/>
      <c r="CY349" s="16184"/>
      <c r="CZ349" s="16184"/>
      <c r="DA349" s="16184"/>
      <c r="DB349" s="16184"/>
      <c r="DC349" s="16184"/>
      <c r="DD349" s="16184"/>
      <c r="DE349" s="16185"/>
      <c r="DF349" s="16183"/>
      <c r="DG349" s="16184"/>
      <c r="DH349" s="16184"/>
      <c r="DI349" s="16184"/>
      <c r="DJ349" s="16184"/>
      <c r="DK349" s="16184"/>
      <c r="DL349" s="16184"/>
      <c r="DM349" s="16184"/>
      <c r="DN349" s="16184"/>
      <c r="DO349" s="16184"/>
      <c r="DP349" s="16185"/>
      <c r="DQ349" s="16183"/>
      <c r="DR349" s="16184"/>
      <c r="DS349" s="16184"/>
      <c r="DT349" s="16184"/>
      <c r="DU349" s="16184"/>
      <c r="DV349" s="16184"/>
      <c r="DW349" s="16184"/>
      <c r="DX349" s="16184"/>
      <c r="DY349" s="16184"/>
      <c r="DZ349" s="16184"/>
      <c r="EA349" s="16185"/>
      <c r="EB349" s="16183"/>
      <c r="EC349" s="16184"/>
      <c r="ED349" s="16184"/>
      <c r="EE349" s="16184"/>
      <c r="EF349" s="16184"/>
      <c r="EG349" s="16184"/>
      <c r="EH349" s="16184"/>
      <c r="EI349" s="16184"/>
      <c r="EJ349" s="16184"/>
      <c r="EK349" s="16184"/>
      <c r="EL349" s="16200"/>
      <c r="EM349" s="16183"/>
      <c r="EN349" s="16184"/>
      <c r="EO349" s="16184"/>
      <c r="EP349" s="16184"/>
      <c r="EQ349" s="16184"/>
      <c r="ER349" s="16184"/>
      <c r="ES349" s="16184"/>
      <c r="ET349" s="16184"/>
      <c r="EU349" s="16184"/>
      <c r="EV349" s="16184"/>
      <c r="EW349" s="16185"/>
      <c r="EX349" s="16188"/>
      <c r="EY349" s="10499" t="s">
        <v>619</v>
      </c>
      <c r="EZ349" s="10500"/>
      <c r="FA349" s="10501"/>
      <c r="FB349" s="10501" t="str">
        <f t="shared" si="5"/>
        <v>Наименование признака дифференциации</v>
      </c>
      <c r="FC349" s="10501"/>
      <c r="FD349" s="10501"/>
    </row>
    <row r="350" spans="1:160" s="15814" customFormat="1" ht="23.25" customHeight="1">
      <c r="A350" s="10490"/>
      <c r="B350" s="10490"/>
      <c r="C350" s="10490"/>
      <c r="D350" s="10490"/>
      <c r="E350" s="16125"/>
      <c r="F350" s="16125" t="s">
        <v>132</v>
      </c>
      <c r="G350" s="16125"/>
      <c r="H350" s="16125"/>
      <c r="I350" s="16145"/>
      <c r="J350" s="16122" t="str">
        <f>I349&amp;".1"</f>
        <v>3.9.1.1.1</v>
      </c>
      <c r="K350" s="10490"/>
      <c r="L350" s="10491" t="s">
        <v>543</v>
      </c>
      <c r="M350" s="10508"/>
      <c r="N350" s="10508"/>
      <c r="O350" s="10508"/>
      <c r="P350" s="16123"/>
      <c r="Q350" s="16123">
        <v>1</v>
      </c>
      <c r="R350" s="10512"/>
      <c r="S350" s="10496" t="str">
        <f>$J350</f>
        <v>3.9.1.1.1</v>
      </c>
      <c r="T350" s="10513" t="s">
        <v>544</v>
      </c>
      <c r="U350" s="10498"/>
      <c r="V350" s="16113"/>
      <c r="W350" s="16114"/>
      <c r="X350" s="16114"/>
      <c r="Y350" s="16114"/>
      <c r="Z350" s="16114"/>
      <c r="AA350" s="16114"/>
      <c r="AB350" s="16114"/>
      <c r="AC350" s="16114"/>
      <c r="AD350" s="16114"/>
      <c r="AE350" s="16114"/>
      <c r="AF350" s="16115"/>
      <c r="AG350" s="16113" t="s">
        <v>679</v>
      </c>
      <c r="AH350" s="16114"/>
      <c r="AI350" s="16114"/>
      <c r="AJ350" s="16114"/>
      <c r="AK350" s="16114"/>
      <c r="AL350" s="16114"/>
      <c r="AM350" s="16114"/>
      <c r="AN350" s="16114"/>
      <c r="AO350" s="16114"/>
      <c r="AP350" s="16114"/>
      <c r="AQ350" s="16114"/>
      <c r="AR350" s="16113"/>
      <c r="AS350" s="16114"/>
      <c r="AT350" s="16114"/>
      <c r="AU350" s="16114"/>
      <c r="AV350" s="16114"/>
      <c r="AW350" s="16114"/>
      <c r="AX350" s="16114"/>
      <c r="AY350" s="16114"/>
      <c r="AZ350" s="16114"/>
      <c r="BA350" s="16114"/>
      <c r="BB350" s="16115"/>
      <c r="BC350" s="16113"/>
      <c r="BD350" s="16114"/>
      <c r="BE350" s="16114"/>
      <c r="BF350" s="16114"/>
      <c r="BG350" s="16114"/>
      <c r="BH350" s="16114"/>
      <c r="BI350" s="16114"/>
      <c r="BJ350" s="16114"/>
      <c r="BK350" s="16114"/>
      <c r="BL350" s="16114"/>
      <c r="BM350" s="16115"/>
      <c r="BN350" s="16113"/>
      <c r="BO350" s="16114"/>
      <c r="BP350" s="16114"/>
      <c r="BQ350" s="16114"/>
      <c r="BR350" s="16114"/>
      <c r="BS350" s="16114"/>
      <c r="BT350" s="16114"/>
      <c r="BU350" s="16114"/>
      <c r="BV350" s="16114"/>
      <c r="BW350" s="16114"/>
      <c r="BX350" s="16115"/>
      <c r="BY350" s="16113"/>
      <c r="BZ350" s="16114"/>
      <c r="CA350" s="16114"/>
      <c r="CB350" s="16114"/>
      <c r="CC350" s="16114"/>
      <c r="CD350" s="16114"/>
      <c r="CE350" s="16114"/>
      <c r="CF350" s="16114"/>
      <c r="CG350" s="16114"/>
      <c r="CH350" s="16114"/>
      <c r="CI350" s="16115"/>
      <c r="CJ350" s="16113"/>
      <c r="CK350" s="16114"/>
      <c r="CL350" s="16114"/>
      <c r="CM350" s="16114"/>
      <c r="CN350" s="16114"/>
      <c r="CO350" s="16114"/>
      <c r="CP350" s="16114"/>
      <c r="CQ350" s="16114"/>
      <c r="CR350" s="16114"/>
      <c r="CS350" s="16114"/>
      <c r="CT350" s="16115"/>
      <c r="CU350" s="16113"/>
      <c r="CV350" s="16114"/>
      <c r="CW350" s="16114"/>
      <c r="CX350" s="16114"/>
      <c r="CY350" s="16114"/>
      <c r="CZ350" s="16114"/>
      <c r="DA350" s="16114"/>
      <c r="DB350" s="16114"/>
      <c r="DC350" s="16114"/>
      <c r="DD350" s="16114"/>
      <c r="DE350" s="16115"/>
      <c r="DF350" s="16113"/>
      <c r="DG350" s="16114"/>
      <c r="DH350" s="16114"/>
      <c r="DI350" s="16114"/>
      <c r="DJ350" s="16114"/>
      <c r="DK350" s="16114"/>
      <c r="DL350" s="16114"/>
      <c r="DM350" s="16114"/>
      <c r="DN350" s="16114"/>
      <c r="DO350" s="16114"/>
      <c r="DP350" s="16115"/>
      <c r="DQ350" s="16113"/>
      <c r="DR350" s="16114"/>
      <c r="DS350" s="16114"/>
      <c r="DT350" s="16114"/>
      <c r="DU350" s="16114"/>
      <c r="DV350" s="16114"/>
      <c r="DW350" s="16114"/>
      <c r="DX350" s="16114"/>
      <c r="DY350" s="16114"/>
      <c r="DZ350" s="16114"/>
      <c r="EA350" s="16115"/>
      <c r="EB350" s="16113"/>
      <c r="EC350" s="16114"/>
      <c r="ED350" s="16114"/>
      <c r="EE350" s="16114"/>
      <c r="EF350" s="16114"/>
      <c r="EG350" s="16114"/>
      <c r="EH350" s="16114"/>
      <c r="EI350" s="16114"/>
      <c r="EJ350" s="16114"/>
      <c r="EK350" s="16114"/>
      <c r="EL350" s="16201"/>
      <c r="EM350" s="16113"/>
      <c r="EN350" s="16114"/>
      <c r="EO350" s="16114"/>
      <c r="EP350" s="16114"/>
      <c r="EQ350" s="16114"/>
      <c r="ER350" s="16114"/>
      <c r="ES350" s="16114"/>
      <c r="ET350" s="16114"/>
      <c r="EU350" s="16114"/>
      <c r="EV350" s="16114"/>
      <c r="EW350" s="16115"/>
      <c r="EX350" s="16115"/>
      <c r="EY350" s="10514" t="s">
        <v>620</v>
      </c>
      <c r="EZ350" s="10500"/>
      <c r="FA350" s="10501"/>
      <c r="FB350" s="10501" t="str">
        <f t="shared" si="5"/>
        <v>Группа потребителей</v>
      </c>
      <c r="FC350" s="10501"/>
      <c r="FD350" s="10501"/>
    </row>
    <row r="351" spans="1:160" s="15815" customFormat="1" ht="23.25" customHeight="1">
      <c r="A351" s="10490"/>
      <c r="B351" s="10490"/>
      <c r="C351" s="10490"/>
      <c r="D351" s="10490"/>
      <c r="E351" s="16125"/>
      <c r="F351" s="16125" t="s">
        <v>132</v>
      </c>
      <c r="G351" s="16125"/>
      <c r="H351" s="16125"/>
      <c r="I351" s="16145"/>
      <c r="J351" s="16145"/>
      <c r="K351" s="16122" t="str">
        <f>J350&amp;".1"</f>
        <v>3.9.1.1.1.1</v>
      </c>
      <c r="L351" s="10491"/>
      <c r="M351" s="10508"/>
      <c r="N351" s="10508"/>
      <c r="O351" s="10508"/>
      <c r="P351" s="16123"/>
      <c r="Q351" s="16123"/>
      <c r="R351" s="10512">
        <v>1</v>
      </c>
      <c r="S351" s="10496" t="str">
        <f>$K351</f>
        <v>3.9.1.1.1.1</v>
      </c>
      <c r="T351" s="10515"/>
      <c r="U351" s="10498"/>
      <c r="V351" s="10516"/>
      <c r="W351" s="10516"/>
      <c r="X351" s="10516"/>
      <c r="Y351" s="10516"/>
      <c r="Z351" s="10516"/>
      <c r="AA351" s="10516"/>
      <c r="AB351" s="10516"/>
      <c r="AC351" s="16127"/>
      <c r="AD351" s="15973" t="s">
        <v>66</v>
      </c>
      <c r="AE351" s="16127"/>
      <c r="AF351" s="15973" t="s">
        <v>66</v>
      </c>
      <c r="AG351" s="10516">
        <v>61.1</v>
      </c>
      <c r="AH351" s="10516"/>
      <c r="AI351" s="10516"/>
      <c r="AJ351" s="10516"/>
      <c r="AK351" s="10516">
        <v>5211.17</v>
      </c>
      <c r="AL351" s="10516"/>
      <c r="AM351" s="10516"/>
      <c r="AN351" s="16127">
        <v>45292</v>
      </c>
      <c r="AO351" s="15973" t="s">
        <v>66</v>
      </c>
      <c r="AP351" s="16146">
        <v>45378</v>
      </c>
      <c r="AQ351" s="15973" t="s">
        <v>66</v>
      </c>
      <c r="AR351" s="10516">
        <v>61.1</v>
      </c>
      <c r="AS351" s="10516"/>
      <c r="AT351" s="10516"/>
      <c r="AU351" s="10516"/>
      <c r="AV351" s="10516">
        <v>5211.17</v>
      </c>
      <c r="AW351" s="10516"/>
      <c r="AX351" s="10516"/>
      <c r="AY351" s="16127">
        <v>45379</v>
      </c>
      <c r="AZ351" s="15973" t="s">
        <v>66</v>
      </c>
      <c r="BA351" s="16127">
        <v>45473</v>
      </c>
      <c r="BB351" s="15973" t="s">
        <v>66</v>
      </c>
      <c r="BC351" s="10516">
        <v>78</v>
      </c>
      <c r="BD351" s="10516"/>
      <c r="BE351" s="10516"/>
      <c r="BF351" s="10516"/>
      <c r="BG351" s="10516">
        <v>5493.65</v>
      </c>
      <c r="BH351" s="10516"/>
      <c r="BI351" s="10516"/>
      <c r="BJ351" s="16127">
        <v>45474</v>
      </c>
      <c r="BK351" s="15973" t="s">
        <v>66</v>
      </c>
      <c r="BL351" s="16127">
        <v>45657</v>
      </c>
      <c r="BM351" s="15973" t="s">
        <v>66</v>
      </c>
      <c r="BN351" s="10516">
        <v>65</v>
      </c>
      <c r="BO351" s="10516"/>
      <c r="BP351" s="10516"/>
      <c r="BQ351" s="10516"/>
      <c r="BR351" s="10516">
        <v>5407.73</v>
      </c>
      <c r="BS351" s="10516"/>
      <c r="BT351" s="10516"/>
      <c r="BU351" s="16127">
        <v>45658</v>
      </c>
      <c r="BV351" s="15973" t="s">
        <v>66</v>
      </c>
      <c r="BW351" s="16127">
        <v>45838</v>
      </c>
      <c r="BX351" s="15973" t="s">
        <v>66</v>
      </c>
      <c r="BY351" s="10516">
        <v>67.73</v>
      </c>
      <c r="BZ351" s="10516"/>
      <c r="CA351" s="10516"/>
      <c r="CB351" s="10516"/>
      <c r="CC351" s="10516">
        <v>5407.73</v>
      </c>
      <c r="CD351" s="10516"/>
      <c r="CE351" s="10516"/>
      <c r="CF351" s="16127">
        <v>45839</v>
      </c>
      <c r="CG351" s="15973" t="s">
        <v>66</v>
      </c>
      <c r="CH351" s="16127">
        <v>46022</v>
      </c>
      <c r="CI351" s="15973" t="s">
        <v>66</v>
      </c>
      <c r="CJ351" s="10516">
        <v>67.73</v>
      </c>
      <c r="CK351" s="10516"/>
      <c r="CL351" s="10516"/>
      <c r="CM351" s="10516"/>
      <c r="CN351" s="10516">
        <v>5407.73</v>
      </c>
      <c r="CO351" s="10516"/>
      <c r="CP351" s="10516"/>
      <c r="CQ351" s="16127">
        <v>46023</v>
      </c>
      <c r="CR351" s="15973" t="s">
        <v>66</v>
      </c>
      <c r="CS351" s="16127">
        <v>46203</v>
      </c>
      <c r="CT351" s="15973" t="s">
        <v>66</v>
      </c>
      <c r="CU351" s="10516">
        <v>71.599999999999994</v>
      </c>
      <c r="CV351" s="10516"/>
      <c r="CW351" s="10516"/>
      <c r="CX351" s="10516"/>
      <c r="CY351" s="10516">
        <v>5624.04</v>
      </c>
      <c r="CZ351" s="10516"/>
      <c r="DA351" s="10516"/>
      <c r="DB351" s="16127">
        <v>46204</v>
      </c>
      <c r="DC351" s="15973" t="s">
        <v>66</v>
      </c>
      <c r="DD351" s="16127">
        <v>46387</v>
      </c>
      <c r="DE351" s="15973" t="s">
        <v>66</v>
      </c>
      <c r="DF351" s="10516">
        <v>71.599999999999994</v>
      </c>
      <c r="DG351" s="10516"/>
      <c r="DH351" s="10516"/>
      <c r="DI351" s="10516"/>
      <c r="DJ351" s="10516">
        <v>5624.04</v>
      </c>
      <c r="DK351" s="10516"/>
      <c r="DL351" s="10516"/>
      <c r="DM351" s="16127">
        <v>46388</v>
      </c>
      <c r="DN351" s="15973" t="s">
        <v>66</v>
      </c>
      <c r="DO351" s="16127">
        <v>46568</v>
      </c>
      <c r="DP351" s="15973" t="s">
        <v>66</v>
      </c>
      <c r="DQ351" s="10516">
        <v>75.69</v>
      </c>
      <c r="DR351" s="10516"/>
      <c r="DS351" s="10516"/>
      <c r="DT351" s="10516"/>
      <c r="DU351" s="10516">
        <v>5728.27</v>
      </c>
      <c r="DV351" s="10516"/>
      <c r="DW351" s="10516"/>
      <c r="DX351" s="16127">
        <v>46569</v>
      </c>
      <c r="DY351" s="15973" t="s">
        <v>66</v>
      </c>
      <c r="DZ351" s="16127">
        <v>46752</v>
      </c>
      <c r="EA351" s="15973" t="s">
        <v>66</v>
      </c>
      <c r="EB351" s="10516">
        <v>75.69</v>
      </c>
      <c r="EC351" s="10516"/>
      <c r="ED351" s="10516"/>
      <c r="EE351" s="10516"/>
      <c r="EF351" s="10516">
        <v>5728.27</v>
      </c>
      <c r="EG351" s="10516"/>
      <c r="EH351" s="10516"/>
      <c r="EI351" s="16127">
        <v>46753</v>
      </c>
      <c r="EJ351" s="15973" t="s">
        <v>66</v>
      </c>
      <c r="EK351" s="16127">
        <v>46934</v>
      </c>
      <c r="EL351" s="16202" t="s">
        <v>66</v>
      </c>
      <c r="EM351" s="14448">
        <v>80.14</v>
      </c>
      <c r="EN351" s="14448"/>
      <c r="EO351" s="14448"/>
      <c r="EP351" s="14448"/>
      <c r="EQ351" s="14448">
        <v>5924.09</v>
      </c>
      <c r="ER351" s="14448"/>
      <c r="ES351" s="14448"/>
      <c r="ET351" s="16127">
        <v>46935</v>
      </c>
      <c r="EU351" s="15973" t="s">
        <v>66</v>
      </c>
      <c r="EV351" s="16127">
        <v>47118</v>
      </c>
      <c r="EW351" s="15973" t="s">
        <v>66</v>
      </c>
      <c r="EX351" s="10517"/>
      <c r="EY351"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Z351" s="10500" t="e">
        <f ca="1">STRCHECKDATE(V352:EX352)</f>
        <v>#NAME?</v>
      </c>
      <c r="FA351" s="10501"/>
      <c r="FB351" s="10501" t="str">
        <f t="shared" si="5"/>
        <v/>
      </c>
      <c r="FC351" s="10501"/>
      <c r="FD351" s="10501"/>
    </row>
    <row r="352" spans="1:160" s="15816" customFormat="1" ht="14.25" customHeight="1">
      <c r="A352" s="10490"/>
      <c r="B352" s="10490"/>
      <c r="C352" s="10490"/>
      <c r="D352" s="10490"/>
      <c r="E352" s="16125"/>
      <c r="F352" s="16125" t="s">
        <v>132</v>
      </c>
      <c r="G352" s="16125"/>
      <c r="H352" s="16125"/>
      <c r="I352" s="16145"/>
      <c r="J352" s="16145"/>
      <c r="K352" s="16122"/>
      <c r="L352" s="10491"/>
      <c r="M352" s="10508"/>
      <c r="N352" s="10508"/>
      <c r="O352" s="10508"/>
      <c r="P352" s="16123"/>
      <c r="Q352" s="16123"/>
      <c r="R352" s="10512"/>
      <c r="S352" s="10518"/>
      <c r="T352" s="10498"/>
      <c r="U352" s="10498"/>
      <c r="V352" s="10519"/>
      <c r="W352" s="10519"/>
      <c r="X352" s="10519"/>
      <c r="Y352" s="10519"/>
      <c r="Z352" s="10519"/>
      <c r="AA352" s="10519"/>
      <c r="AB352" s="10519"/>
      <c r="AC352" s="16128"/>
      <c r="AD352" s="15973"/>
      <c r="AE352" s="16128"/>
      <c r="AF352" s="15973"/>
      <c r="AG352" s="10519"/>
      <c r="AH352" s="10519"/>
      <c r="AI352" s="10519"/>
      <c r="AJ352" s="10519"/>
      <c r="AK352" s="10519"/>
      <c r="AL352" s="10519"/>
      <c r="AM352" s="10519"/>
      <c r="AN352" s="16128"/>
      <c r="AO352" s="15973"/>
      <c r="AP352" s="16147"/>
      <c r="AQ352" s="15973"/>
      <c r="AR352" s="10519"/>
      <c r="AS352" s="10519"/>
      <c r="AT352" s="10519"/>
      <c r="AU352" s="10519"/>
      <c r="AV352" s="10519"/>
      <c r="AW352" s="10519"/>
      <c r="AX352" s="10519"/>
      <c r="AY352" s="16128"/>
      <c r="AZ352" s="15973"/>
      <c r="BA352" s="16128"/>
      <c r="BB352" s="15973"/>
      <c r="BC352" s="10519"/>
      <c r="BD352" s="10519"/>
      <c r="BE352" s="10519"/>
      <c r="BF352" s="10519"/>
      <c r="BG352" s="10519"/>
      <c r="BH352" s="10519"/>
      <c r="BI352" s="10519"/>
      <c r="BJ352" s="16128"/>
      <c r="BK352" s="15973"/>
      <c r="BL352" s="16128"/>
      <c r="BM352" s="15973"/>
      <c r="BN352" s="10519"/>
      <c r="BO352" s="10519"/>
      <c r="BP352" s="10519"/>
      <c r="BQ352" s="10519"/>
      <c r="BR352" s="10519"/>
      <c r="BS352" s="10519"/>
      <c r="BT352" s="10519"/>
      <c r="BU352" s="16128"/>
      <c r="BV352" s="15973"/>
      <c r="BW352" s="16128"/>
      <c r="BX352" s="15973"/>
      <c r="BY352" s="10519"/>
      <c r="BZ352" s="10519"/>
      <c r="CA352" s="10519"/>
      <c r="CB352" s="10519"/>
      <c r="CC352" s="10519"/>
      <c r="CD352" s="10519"/>
      <c r="CE352" s="10519"/>
      <c r="CF352" s="16128"/>
      <c r="CG352" s="15973"/>
      <c r="CH352" s="16128"/>
      <c r="CI352" s="15973"/>
      <c r="CJ352" s="10519"/>
      <c r="CK352" s="10519"/>
      <c r="CL352" s="10519"/>
      <c r="CM352" s="10519"/>
      <c r="CN352" s="10519"/>
      <c r="CO352" s="10519"/>
      <c r="CP352" s="10519"/>
      <c r="CQ352" s="16128"/>
      <c r="CR352" s="15973"/>
      <c r="CS352" s="16128"/>
      <c r="CT352" s="15973"/>
      <c r="CU352" s="10519"/>
      <c r="CV352" s="10519"/>
      <c r="CW352" s="10519"/>
      <c r="CX352" s="10519"/>
      <c r="CY352" s="10519"/>
      <c r="CZ352" s="10519"/>
      <c r="DA352" s="10519"/>
      <c r="DB352" s="16128"/>
      <c r="DC352" s="15973"/>
      <c r="DD352" s="16128"/>
      <c r="DE352" s="15973"/>
      <c r="DF352" s="10519"/>
      <c r="DG352" s="10519"/>
      <c r="DH352" s="10519"/>
      <c r="DI352" s="10519"/>
      <c r="DJ352" s="10519"/>
      <c r="DK352" s="10519"/>
      <c r="DL352" s="10519"/>
      <c r="DM352" s="16128"/>
      <c r="DN352" s="15973"/>
      <c r="DO352" s="16128"/>
      <c r="DP352" s="15973"/>
      <c r="DQ352" s="10519"/>
      <c r="DR352" s="10519"/>
      <c r="DS352" s="10519"/>
      <c r="DT352" s="10519"/>
      <c r="DU352" s="10519"/>
      <c r="DV352" s="10519"/>
      <c r="DW352" s="10519"/>
      <c r="DX352" s="16128"/>
      <c r="DY352" s="15973"/>
      <c r="DZ352" s="16128"/>
      <c r="EA352" s="15973"/>
      <c r="EB352" s="10519"/>
      <c r="EC352" s="10519"/>
      <c r="ED352" s="10519"/>
      <c r="EE352" s="10519"/>
      <c r="EF352" s="10519"/>
      <c r="EG352" s="10519"/>
      <c r="EH352" s="10519"/>
      <c r="EI352" s="16128"/>
      <c r="EJ352" s="15973"/>
      <c r="EK352" s="16128"/>
      <c r="EL352" s="16202"/>
      <c r="EM352" s="14449"/>
      <c r="EN352" s="14449"/>
      <c r="EO352" s="14449"/>
      <c r="EP352" s="14449"/>
      <c r="EQ352" s="14449"/>
      <c r="ER352" s="14449"/>
      <c r="ES352" s="14449"/>
      <c r="ET352" s="16128"/>
      <c r="EU352" s="15973"/>
      <c r="EV352" s="16128"/>
      <c r="EW352" s="15973"/>
      <c r="EX352" s="10520"/>
      <c r="EY352" s="16182"/>
      <c r="EZ352" s="10500"/>
      <c r="FA352" s="10501"/>
      <c r="FB352" s="10501" t="str">
        <f t="shared" si="5"/>
        <v/>
      </c>
      <c r="FC352" s="10501"/>
      <c r="FD352" s="10501"/>
    </row>
    <row r="353" spans="1:160" s="15817" customFormat="1" ht="21" customHeight="1">
      <c r="A353" s="10490"/>
      <c r="B353" s="10490"/>
      <c r="C353" s="10490"/>
      <c r="D353" s="10490"/>
      <c r="E353" s="16125"/>
      <c r="F353" s="16125" t="s">
        <v>132</v>
      </c>
      <c r="G353" s="16125"/>
      <c r="H353" s="16125"/>
      <c r="I353" s="16145"/>
      <c r="J353" s="16122"/>
      <c r="K353" s="10490"/>
      <c r="L353" s="10491"/>
      <c r="M353" s="10508"/>
      <c r="N353" s="10508"/>
      <c r="O353" s="10508"/>
      <c r="P353" s="16123"/>
      <c r="Q353" s="16123"/>
      <c r="R353" s="10510"/>
      <c r="S353" s="13925"/>
      <c r="T353" s="13926" t="s">
        <v>621</v>
      </c>
      <c r="U353" s="13927"/>
      <c r="V353" s="13928"/>
      <c r="W353" s="13929"/>
      <c r="X353" s="13930"/>
      <c r="Y353" s="13931"/>
      <c r="Z353" s="13932"/>
      <c r="AA353" s="13933"/>
      <c r="AB353" s="13934"/>
      <c r="AC353" s="13935"/>
      <c r="AD353" s="13936"/>
      <c r="AE353" s="13937"/>
      <c r="AF353" s="13938"/>
      <c r="AG353" s="13939"/>
      <c r="AH353" s="13940"/>
      <c r="AI353" s="13941"/>
      <c r="AJ353" s="13942"/>
      <c r="AK353" s="13943"/>
      <c r="AL353" s="13944"/>
      <c r="AM353" s="13945"/>
      <c r="AN353" s="13946"/>
      <c r="AO353" s="13947"/>
      <c r="AP353" s="13948"/>
      <c r="AQ353" s="13949"/>
      <c r="AR353" s="13950"/>
      <c r="AS353" s="13951"/>
      <c r="AT353" s="13952"/>
      <c r="AU353" s="13953"/>
      <c r="AV353" s="13954"/>
      <c r="AW353" s="13955"/>
      <c r="AX353" s="13956"/>
      <c r="AY353" s="13957"/>
      <c r="AZ353" s="13958"/>
      <c r="BA353" s="13959"/>
      <c r="BB353" s="13960"/>
      <c r="BC353" s="13961"/>
      <c r="BD353" s="13962"/>
      <c r="BE353" s="13963"/>
      <c r="BF353" s="13964"/>
      <c r="BG353" s="13965"/>
      <c r="BH353" s="13966"/>
      <c r="BI353" s="13967"/>
      <c r="BJ353" s="13968"/>
      <c r="BK353" s="13969"/>
      <c r="BL353" s="13970"/>
      <c r="BM353" s="13971"/>
      <c r="BN353" s="13972"/>
      <c r="BO353" s="13973"/>
      <c r="BP353" s="13974"/>
      <c r="BQ353" s="13975"/>
      <c r="BR353" s="13976"/>
      <c r="BS353" s="13977"/>
      <c r="BT353" s="13978"/>
      <c r="BU353" s="13979"/>
      <c r="BV353" s="13980"/>
      <c r="BW353" s="13981"/>
      <c r="BX353" s="13982"/>
      <c r="BY353" s="13983"/>
      <c r="BZ353" s="13984"/>
      <c r="CA353" s="13985"/>
      <c r="CB353" s="13986"/>
      <c r="CC353" s="13987"/>
      <c r="CD353" s="13988"/>
      <c r="CE353" s="13989"/>
      <c r="CF353" s="13990"/>
      <c r="CG353" s="13991"/>
      <c r="CH353" s="13992"/>
      <c r="CI353" s="13993"/>
      <c r="CJ353" s="13994"/>
      <c r="CK353" s="13995"/>
      <c r="CL353" s="13996"/>
      <c r="CM353" s="13997"/>
      <c r="CN353" s="13998"/>
      <c r="CO353" s="13999"/>
      <c r="CP353" s="14000"/>
      <c r="CQ353" s="14001"/>
      <c r="CR353" s="14002"/>
      <c r="CS353" s="14003"/>
      <c r="CT353" s="14004"/>
      <c r="CU353" s="14005"/>
      <c r="CV353" s="14006"/>
      <c r="CW353" s="14007"/>
      <c r="CX353" s="14008"/>
      <c r="CY353" s="14009"/>
      <c r="CZ353" s="14010"/>
      <c r="DA353" s="14011"/>
      <c r="DB353" s="14012"/>
      <c r="DC353" s="14013"/>
      <c r="DD353" s="14014"/>
      <c r="DE353" s="14015"/>
      <c r="DF353" s="14016"/>
      <c r="DG353" s="14017"/>
      <c r="DH353" s="14018"/>
      <c r="DI353" s="14019"/>
      <c r="DJ353" s="14020"/>
      <c r="DK353" s="14021"/>
      <c r="DL353" s="14022"/>
      <c r="DM353" s="14023"/>
      <c r="DN353" s="14024"/>
      <c r="DO353" s="14025"/>
      <c r="DP353" s="14026"/>
      <c r="DQ353" s="14027"/>
      <c r="DR353" s="14028"/>
      <c r="DS353" s="14029"/>
      <c r="DT353" s="14030"/>
      <c r="DU353" s="14031"/>
      <c r="DV353" s="14032"/>
      <c r="DW353" s="14033"/>
      <c r="DX353" s="14034"/>
      <c r="DY353" s="14035"/>
      <c r="DZ353" s="14036"/>
      <c r="EA353" s="14037"/>
      <c r="EB353" s="14038"/>
      <c r="EC353" s="14039"/>
      <c r="ED353" s="14040"/>
      <c r="EE353" s="14041"/>
      <c r="EF353" s="14042"/>
      <c r="EG353" s="14043"/>
      <c r="EH353" s="14044"/>
      <c r="EI353" s="14045"/>
      <c r="EJ353" s="14046"/>
      <c r="EK353" s="14047"/>
      <c r="EL353" s="14048"/>
      <c r="EM353" s="15818"/>
      <c r="EN353" s="15819"/>
      <c r="EO353" s="15820"/>
      <c r="EP353" s="15821"/>
      <c r="EQ353" s="15822"/>
      <c r="ER353" s="15823"/>
      <c r="ES353" s="15824"/>
      <c r="ET353" s="15825"/>
      <c r="EU353" s="15826"/>
      <c r="EV353" s="15827"/>
      <c r="EW353" s="15828"/>
      <c r="EX353" s="14049"/>
      <c r="EY353" s="10499" t="s">
        <v>622</v>
      </c>
      <c r="EZ353" s="10500"/>
      <c r="FA353" s="10501"/>
      <c r="FB353" s="10501" t="str">
        <f t="shared" si="5"/>
        <v>Добавить значение признака дифференциации</v>
      </c>
      <c r="FC353" s="10501"/>
      <c r="FD353" s="10501"/>
    </row>
    <row r="354" spans="1:160" s="15829" customFormat="1" ht="21" customHeight="1">
      <c r="A354" s="10490"/>
      <c r="B354" s="10490"/>
      <c r="C354" s="10490"/>
      <c r="D354" s="10490"/>
      <c r="E354" s="16125"/>
      <c r="F354" s="16125" t="s">
        <v>132</v>
      </c>
      <c r="G354" s="16125"/>
      <c r="H354" s="16125"/>
      <c r="I354" s="16122"/>
      <c r="J354" s="10490"/>
      <c r="K354" s="10490"/>
      <c r="L354" s="10491"/>
      <c r="M354" s="10508"/>
      <c r="N354" s="10508"/>
      <c r="O354" s="10508"/>
      <c r="P354" s="16123"/>
      <c r="Q354" s="10509"/>
      <c r="R354" s="10510"/>
      <c r="S354" s="14050"/>
      <c r="T354" s="14051" t="s">
        <v>549</v>
      </c>
      <c r="U354" s="14052"/>
      <c r="V354" s="14053"/>
      <c r="W354" s="14054"/>
      <c r="X354" s="14055"/>
      <c r="Y354" s="14056"/>
      <c r="Z354" s="14057"/>
      <c r="AA354" s="14058"/>
      <c r="AB354" s="14059"/>
      <c r="AC354" s="14060"/>
      <c r="AD354" s="14061"/>
      <c r="AE354" s="14062"/>
      <c r="AF354" s="14063"/>
      <c r="AG354" s="14064"/>
      <c r="AH354" s="14065"/>
      <c r="AI354" s="14066"/>
      <c r="AJ354" s="14067"/>
      <c r="AK354" s="14068"/>
      <c r="AL354" s="14069"/>
      <c r="AM354" s="14070"/>
      <c r="AN354" s="14071"/>
      <c r="AO354" s="14072"/>
      <c r="AP354" s="14073"/>
      <c r="AQ354" s="14074"/>
      <c r="AR354" s="14075"/>
      <c r="AS354" s="14076"/>
      <c r="AT354" s="14077"/>
      <c r="AU354" s="14078"/>
      <c r="AV354" s="14079"/>
      <c r="AW354" s="14080"/>
      <c r="AX354" s="14081"/>
      <c r="AY354" s="14082"/>
      <c r="AZ354" s="14083"/>
      <c r="BA354" s="14084"/>
      <c r="BB354" s="14085"/>
      <c r="BC354" s="14086"/>
      <c r="BD354" s="14087"/>
      <c r="BE354" s="14088"/>
      <c r="BF354" s="14089"/>
      <c r="BG354" s="14090"/>
      <c r="BH354" s="14091"/>
      <c r="BI354" s="14092"/>
      <c r="BJ354" s="14093"/>
      <c r="BK354" s="14094"/>
      <c r="BL354" s="14095"/>
      <c r="BM354" s="14096"/>
      <c r="BN354" s="14097"/>
      <c r="BO354" s="14098"/>
      <c r="BP354" s="14099"/>
      <c r="BQ354" s="14100"/>
      <c r="BR354" s="14101"/>
      <c r="BS354" s="14102"/>
      <c r="BT354" s="14103"/>
      <c r="BU354" s="14104"/>
      <c r="BV354" s="14105"/>
      <c r="BW354" s="14106"/>
      <c r="BX354" s="14107"/>
      <c r="BY354" s="14108"/>
      <c r="BZ354" s="14109"/>
      <c r="CA354" s="14110"/>
      <c r="CB354" s="14111"/>
      <c r="CC354" s="14112"/>
      <c r="CD354" s="14113"/>
      <c r="CE354" s="14114"/>
      <c r="CF354" s="14115"/>
      <c r="CG354" s="14116"/>
      <c r="CH354" s="14117"/>
      <c r="CI354" s="14118"/>
      <c r="CJ354" s="14119"/>
      <c r="CK354" s="14120"/>
      <c r="CL354" s="14121"/>
      <c r="CM354" s="14122"/>
      <c r="CN354" s="14123"/>
      <c r="CO354" s="14124"/>
      <c r="CP354" s="14125"/>
      <c r="CQ354" s="14126"/>
      <c r="CR354" s="14127"/>
      <c r="CS354" s="14128"/>
      <c r="CT354" s="14129"/>
      <c r="CU354" s="14130"/>
      <c r="CV354" s="14131"/>
      <c r="CW354" s="14132"/>
      <c r="CX354" s="14133"/>
      <c r="CY354" s="14134"/>
      <c r="CZ354" s="14135"/>
      <c r="DA354" s="14136"/>
      <c r="DB354" s="14137"/>
      <c r="DC354" s="14138"/>
      <c r="DD354" s="14139"/>
      <c r="DE354" s="14140"/>
      <c r="DF354" s="14141"/>
      <c r="DG354" s="14142"/>
      <c r="DH354" s="14143"/>
      <c r="DI354" s="14144"/>
      <c r="DJ354" s="14145"/>
      <c r="DK354" s="14146"/>
      <c r="DL354" s="14147"/>
      <c r="DM354" s="14148"/>
      <c r="DN354" s="14149"/>
      <c r="DO354" s="14150"/>
      <c r="DP354" s="14151"/>
      <c r="DQ354" s="14152"/>
      <c r="DR354" s="14153"/>
      <c r="DS354" s="14154"/>
      <c r="DT354" s="14155"/>
      <c r="DU354" s="14156"/>
      <c r="DV354" s="14157"/>
      <c r="DW354" s="14158"/>
      <c r="DX354" s="14159"/>
      <c r="DY354" s="14160"/>
      <c r="DZ354" s="14161"/>
      <c r="EA354" s="14162"/>
      <c r="EB354" s="14163"/>
      <c r="EC354" s="14164"/>
      <c r="ED354" s="14165"/>
      <c r="EE354" s="14166"/>
      <c r="EF354" s="14167"/>
      <c r="EG354" s="14168"/>
      <c r="EH354" s="14169"/>
      <c r="EI354" s="14170"/>
      <c r="EJ354" s="14171"/>
      <c r="EK354" s="14172"/>
      <c r="EL354" s="14173"/>
      <c r="EM354" s="15830"/>
      <c r="EN354" s="15831"/>
      <c r="EO354" s="15832"/>
      <c r="EP354" s="15833"/>
      <c r="EQ354" s="15834"/>
      <c r="ER354" s="15835"/>
      <c r="ES354" s="15836"/>
      <c r="ET354" s="15837"/>
      <c r="EU354" s="15838"/>
      <c r="EV354" s="15839"/>
      <c r="EW354" s="15840"/>
      <c r="EX354" s="14174"/>
      <c r="EY354" s="14175"/>
      <c r="EZ354" s="10500"/>
      <c r="FA354" s="10501"/>
      <c r="FB354" s="10501" t="str">
        <f t="shared" si="5"/>
        <v>Добавить группу потребителей</v>
      </c>
      <c r="FC354" s="10501"/>
      <c r="FD354" s="10501"/>
    </row>
    <row r="355" spans="1:160" s="15841" customFormat="1" ht="21" customHeight="1">
      <c r="A355" s="10490"/>
      <c r="B355" s="10490"/>
      <c r="C355" s="10490"/>
      <c r="D355" s="10490"/>
      <c r="E355" s="16125"/>
      <c r="F355" s="16125" t="s">
        <v>132</v>
      </c>
      <c r="G355" s="16125"/>
      <c r="H355" s="16124"/>
      <c r="I355" s="10490"/>
      <c r="J355" s="10490"/>
      <c r="K355" s="10490"/>
      <c r="L355" s="10491"/>
      <c r="M355" s="10492"/>
      <c r="N355" s="10492"/>
      <c r="O355" s="10772"/>
      <c r="P355" s="10494"/>
      <c r="Q355" s="10773"/>
      <c r="R355" s="10495"/>
      <c r="S355" s="14176"/>
      <c r="T355" s="14177" t="s">
        <v>623</v>
      </c>
      <c r="U355" s="14178"/>
      <c r="V355" s="14179"/>
      <c r="W355" s="14180"/>
      <c r="X355" s="14181"/>
      <c r="Y355" s="14182"/>
      <c r="Z355" s="14183"/>
      <c r="AA355" s="14184"/>
      <c r="AB355" s="14185"/>
      <c r="AC355" s="14186"/>
      <c r="AD355" s="14187"/>
      <c r="AE355" s="14188"/>
      <c r="AF355" s="14189"/>
      <c r="AG355" s="14190"/>
      <c r="AH355" s="14191"/>
      <c r="AI355" s="14192"/>
      <c r="AJ355" s="14193"/>
      <c r="AK355" s="14194"/>
      <c r="AL355" s="14195"/>
      <c r="AM355" s="14196"/>
      <c r="AN355" s="14197"/>
      <c r="AO355" s="14198"/>
      <c r="AP355" s="14199"/>
      <c r="AQ355" s="14200"/>
      <c r="AR355" s="14201"/>
      <c r="AS355" s="14202"/>
      <c r="AT355" s="14203"/>
      <c r="AU355" s="14204"/>
      <c r="AV355" s="14205"/>
      <c r="AW355" s="14206"/>
      <c r="AX355" s="14207"/>
      <c r="AY355" s="14208"/>
      <c r="AZ355" s="14209"/>
      <c r="BA355" s="14210"/>
      <c r="BB355" s="14211"/>
      <c r="BC355" s="14212"/>
      <c r="BD355" s="14213"/>
      <c r="BE355" s="14214"/>
      <c r="BF355" s="14215"/>
      <c r="BG355" s="14216"/>
      <c r="BH355" s="14217"/>
      <c r="BI355" s="14218"/>
      <c r="BJ355" s="14219"/>
      <c r="BK355" s="14220"/>
      <c r="BL355" s="14221"/>
      <c r="BM355" s="14222"/>
      <c r="BN355" s="14223"/>
      <c r="BO355" s="14224"/>
      <c r="BP355" s="14225"/>
      <c r="BQ355" s="14226"/>
      <c r="BR355" s="14227"/>
      <c r="BS355" s="14228"/>
      <c r="BT355" s="14229"/>
      <c r="BU355" s="14230"/>
      <c r="BV355" s="14231"/>
      <c r="BW355" s="14232"/>
      <c r="BX355" s="14233"/>
      <c r="BY355" s="14234"/>
      <c r="BZ355" s="14235"/>
      <c r="CA355" s="14236"/>
      <c r="CB355" s="14237"/>
      <c r="CC355" s="14238"/>
      <c r="CD355" s="14239"/>
      <c r="CE355" s="14240"/>
      <c r="CF355" s="14241"/>
      <c r="CG355" s="14242"/>
      <c r="CH355" s="14243"/>
      <c r="CI355" s="14244"/>
      <c r="CJ355" s="14245"/>
      <c r="CK355" s="14246"/>
      <c r="CL355" s="14247"/>
      <c r="CM355" s="14248"/>
      <c r="CN355" s="14249"/>
      <c r="CO355" s="14250"/>
      <c r="CP355" s="14251"/>
      <c r="CQ355" s="14252"/>
      <c r="CR355" s="14253"/>
      <c r="CS355" s="14254"/>
      <c r="CT355" s="14255"/>
      <c r="CU355" s="14256"/>
      <c r="CV355" s="14257"/>
      <c r="CW355" s="14258"/>
      <c r="CX355" s="14259"/>
      <c r="CY355" s="14260"/>
      <c r="CZ355" s="14261"/>
      <c r="DA355" s="14262"/>
      <c r="DB355" s="14263"/>
      <c r="DC355" s="14264"/>
      <c r="DD355" s="14265"/>
      <c r="DE355" s="14266"/>
      <c r="DF355" s="14267"/>
      <c r="DG355" s="14268"/>
      <c r="DH355" s="14269"/>
      <c r="DI355" s="14270"/>
      <c r="DJ355" s="14271"/>
      <c r="DK355" s="14272"/>
      <c r="DL355" s="14273"/>
      <c r="DM355" s="14274"/>
      <c r="DN355" s="14275"/>
      <c r="DO355" s="14276"/>
      <c r="DP355" s="14277"/>
      <c r="DQ355" s="14278"/>
      <c r="DR355" s="14279"/>
      <c r="DS355" s="14280"/>
      <c r="DT355" s="14281"/>
      <c r="DU355" s="14282"/>
      <c r="DV355" s="14283"/>
      <c r="DW355" s="14284"/>
      <c r="DX355" s="14285"/>
      <c r="DY355" s="14286"/>
      <c r="DZ355" s="14287"/>
      <c r="EA355" s="14288"/>
      <c r="EB355" s="14289"/>
      <c r="EC355" s="14290"/>
      <c r="ED355" s="14291"/>
      <c r="EE355" s="14292"/>
      <c r="EF355" s="14293"/>
      <c r="EG355" s="14294"/>
      <c r="EH355" s="14295"/>
      <c r="EI355" s="14296"/>
      <c r="EJ355" s="14297"/>
      <c r="EK355" s="14298"/>
      <c r="EL355" s="14299"/>
      <c r="EM355" s="15842"/>
      <c r="EN355" s="15843"/>
      <c r="EO355" s="15844"/>
      <c r="EP355" s="15845"/>
      <c r="EQ355" s="15846"/>
      <c r="ER355" s="15847"/>
      <c r="ES355" s="15848"/>
      <c r="ET355" s="15849"/>
      <c r="EU355" s="15850"/>
      <c r="EV355" s="15851"/>
      <c r="EW355" s="15852"/>
      <c r="EX355" s="14300"/>
      <c r="EY355" s="14301"/>
      <c r="EZ355" s="10500"/>
      <c r="FA355" s="10501"/>
      <c r="FB355" s="10501" t="str">
        <f t="shared" si="5"/>
        <v>Добавить наименование признака дифференциации</v>
      </c>
      <c r="FC355" s="10501"/>
      <c r="FD355" s="10501"/>
    </row>
    <row r="356" spans="1:160" s="15853" customFormat="1" ht="14.25" customHeight="1">
      <c r="A356" s="11277"/>
      <c r="B356" s="11277"/>
      <c r="C356" s="11277"/>
      <c r="D356" s="11277"/>
      <c r="E356" s="16125"/>
      <c r="F356" s="16124" t="s">
        <v>132</v>
      </c>
      <c r="G356" s="11277"/>
      <c r="H356" s="11277"/>
      <c r="I356" s="11277"/>
      <c r="J356" s="11277"/>
      <c r="K356" s="11277"/>
      <c r="L356" s="11278"/>
      <c r="M356" s="11279"/>
      <c r="N356" s="11279"/>
      <c r="O356" s="10500"/>
      <c r="P356" s="11280"/>
      <c r="Q356" s="11281"/>
      <c r="R356" s="11280"/>
      <c r="S356" s="11282"/>
      <c r="T356" s="11283" t="s">
        <v>290</v>
      </c>
      <c r="U356" s="11284"/>
      <c r="V356" s="11284"/>
      <c r="W356" s="11284"/>
      <c r="X356" s="11284"/>
      <c r="Y356" s="11284"/>
      <c r="Z356" s="11284"/>
      <c r="AA356" s="11284"/>
      <c r="AB356" s="11284"/>
      <c r="AC356" s="11284"/>
      <c r="AD356" s="11284"/>
      <c r="AE356" s="11284"/>
      <c r="AF356" s="11284"/>
      <c r="AG356" s="11284"/>
      <c r="AH356" s="11284"/>
      <c r="AI356" s="11284"/>
      <c r="AJ356" s="11284"/>
      <c r="AK356" s="11284"/>
      <c r="AL356" s="11284"/>
      <c r="AM356" s="11284"/>
      <c r="AN356" s="11284"/>
      <c r="AO356" s="11284"/>
      <c r="AP356" s="11284"/>
      <c r="AQ356" s="11284"/>
      <c r="AR356" s="11284"/>
      <c r="AS356" s="11284"/>
      <c r="AT356" s="11284"/>
      <c r="AU356" s="11284"/>
      <c r="AV356" s="11284"/>
      <c r="AW356" s="11284"/>
      <c r="AX356" s="11284"/>
      <c r="AY356" s="11284"/>
      <c r="AZ356" s="11284"/>
      <c r="BA356" s="11284"/>
      <c r="BB356" s="11284"/>
      <c r="BC356" s="11284"/>
      <c r="BD356" s="11284"/>
      <c r="BE356" s="11284"/>
      <c r="BF356" s="11284"/>
      <c r="BG356" s="11284"/>
      <c r="BH356" s="11284"/>
      <c r="BI356" s="11284"/>
      <c r="BJ356" s="11284"/>
      <c r="BK356" s="11284"/>
      <c r="BL356" s="11284"/>
      <c r="BM356" s="11284"/>
      <c r="BN356" s="11284"/>
      <c r="BO356" s="11284"/>
      <c r="BP356" s="11284"/>
      <c r="BQ356" s="11284"/>
      <c r="BR356" s="11284"/>
      <c r="BS356" s="11284"/>
      <c r="BT356" s="11284"/>
      <c r="BU356" s="11284"/>
      <c r="BV356" s="11284"/>
      <c r="BW356" s="11284"/>
      <c r="BX356" s="11284"/>
      <c r="BY356" s="11284"/>
      <c r="BZ356" s="11284"/>
      <c r="CA356" s="11284"/>
      <c r="CB356" s="11284"/>
      <c r="CC356" s="11284"/>
      <c r="CD356" s="11284"/>
      <c r="CE356" s="11284"/>
      <c r="CF356" s="11284"/>
      <c r="CG356" s="11284"/>
      <c r="CH356" s="11284"/>
      <c r="CI356" s="11284"/>
      <c r="CJ356" s="11284"/>
      <c r="CK356" s="11284"/>
      <c r="CL356" s="11284"/>
      <c r="CM356" s="11284"/>
      <c r="CN356" s="11284"/>
      <c r="CO356" s="11284"/>
      <c r="CP356" s="11284"/>
      <c r="CQ356" s="11284"/>
      <c r="CR356" s="11284"/>
      <c r="CS356" s="11284"/>
      <c r="CT356" s="11284"/>
      <c r="CU356" s="11284"/>
      <c r="CV356" s="11284"/>
      <c r="CW356" s="11284"/>
      <c r="CX356" s="11284"/>
      <c r="CY356" s="11284"/>
      <c r="CZ356" s="11284"/>
      <c r="DA356" s="11284"/>
      <c r="DB356" s="11284"/>
      <c r="DC356" s="11284"/>
      <c r="DD356" s="11284"/>
      <c r="DE356" s="11284"/>
      <c r="DF356" s="11284"/>
      <c r="DG356" s="11284"/>
      <c r="DH356" s="11284"/>
      <c r="DI356" s="11284"/>
      <c r="DJ356" s="11284"/>
      <c r="DK356" s="11284"/>
      <c r="DL356" s="11284"/>
      <c r="DM356" s="11284"/>
      <c r="DN356" s="11284"/>
      <c r="DO356" s="11284"/>
      <c r="DP356" s="11284"/>
      <c r="DQ356" s="11284"/>
      <c r="DR356" s="11284"/>
      <c r="DS356" s="11284"/>
      <c r="DT356" s="11284"/>
      <c r="DU356" s="11284"/>
      <c r="DV356" s="11284"/>
      <c r="DW356" s="11284"/>
      <c r="DX356" s="11284"/>
      <c r="DY356" s="11284"/>
      <c r="DZ356" s="11284"/>
      <c r="EA356" s="11284"/>
      <c r="EB356" s="11284"/>
      <c r="EC356" s="11284"/>
      <c r="ED356" s="11284"/>
      <c r="EE356" s="11284"/>
      <c r="EF356" s="11284"/>
      <c r="EG356" s="11284"/>
      <c r="EH356" s="11284"/>
      <c r="EI356" s="11284"/>
      <c r="EJ356" s="11284"/>
      <c r="EK356" s="11284"/>
      <c r="EL356" s="11285"/>
      <c r="EM356" s="14483"/>
      <c r="EN356" s="14483"/>
      <c r="EO356" s="14483"/>
      <c r="EP356" s="14483"/>
      <c r="EQ356" s="14483"/>
      <c r="ER356" s="14483"/>
      <c r="ES356" s="14483"/>
      <c r="ET356" s="14483"/>
      <c r="EU356" s="14483"/>
      <c r="EV356" s="14483"/>
      <c r="EW356" s="14483"/>
      <c r="EX356" s="11284"/>
      <c r="EY356" s="11284"/>
      <c r="EZ356" s="10500"/>
      <c r="FA356" s="10501"/>
      <c r="FB356" s="10501" t="str">
        <f t="shared" si="5"/>
        <v>Добавить централизованную систему для дифференциации</v>
      </c>
      <c r="FC356" s="10501"/>
      <c r="FD356" s="10501"/>
    </row>
    <row r="357" spans="1:160" s="15854" customFormat="1" ht="14.25" customHeight="1">
      <c r="A357" s="11277"/>
      <c r="B357" s="11277"/>
      <c r="C357" s="11277"/>
      <c r="D357" s="11277"/>
      <c r="E357" s="16124" t="s">
        <v>102</v>
      </c>
      <c r="F357" s="11277"/>
      <c r="G357" s="11277"/>
      <c r="H357" s="11277"/>
      <c r="I357" s="11277"/>
      <c r="J357" s="11277"/>
      <c r="K357" s="11277"/>
      <c r="L357" s="11278"/>
      <c r="M357" s="11279"/>
      <c r="N357" s="11279"/>
      <c r="O357" s="10500"/>
      <c r="P357" s="11280"/>
      <c r="Q357" s="11281"/>
      <c r="R357" s="11280"/>
      <c r="S357" s="11282"/>
      <c r="T357" s="11283" t="s">
        <v>326</v>
      </c>
      <c r="U357" s="11284"/>
      <c r="V357" s="11284"/>
      <c r="W357" s="11284"/>
      <c r="X357" s="11284"/>
      <c r="Y357" s="11284"/>
      <c r="Z357" s="11284"/>
      <c r="AA357" s="11284"/>
      <c r="AB357" s="11284"/>
      <c r="AC357" s="11284"/>
      <c r="AD357" s="11284"/>
      <c r="AE357" s="11284"/>
      <c r="AF357" s="11284"/>
      <c r="AG357" s="11284"/>
      <c r="AH357" s="11284"/>
      <c r="AI357" s="11284"/>
      <c r="AJ357" s="11284"/>
      <c r="AK357" s="11284"/>
      <c r="AL357" s="11284"/>
      <c r="AM357" s="11284"/>
      <c r="AN357" s="11284"/>
      <c r="AO357" s="11284"/>
      <c r="AP357" s="11284"/>
      <c r="AQ357" s="11284"/>
      <c r="AR357" s="11284"/>
      <c r="AS357" s="11284"/>
      <c r="AT357" s="11284"/>
      <c r="AU357" s="11284"/>
      <c r="AV357" s="11284"/>
      <c r="AW357" s="11284"/>
      <c r="AX357" s="11284"/>
      <c r="AY357" s="11284"/>
      <c r="AZ357" s="11284"/>
      <c r="BA357" s="11284"/>
      <c r="BB357" s="11284"/>
      <c r="BC357" s="11284"/>
      <c r="BD357" s="11284"/>
      <c r="BE357" s="11284"/>
      <c r="BF357" s="11284"/>
      <c r="BG357" s="11284"/>
      <c r="BH357" s="11284"/>
      <c r="BI357" s="11284"/>
      <c r="BJ357" s="11284"/>
      <c r="BK357" s="11284"/>
      <c r="BL357" s="11284"/>
      <c r="BM357" s="11284"/>
      <c r="BN357" s="11284"/>
      <c r="BO357" s="11284"/>
      <c r="BP357" s="11284"/>
      <c r="BQ357" s="11284"/>
      <c r="BR357" s="11284"/>
      <c r="BS357" s="11284"/>
      <c r="BT357" s="11284"/>
      <c r="BU357" s="11284"/>
      <c r="BV357" s="11284"/>
      <c r="BW357" s="11284"/>
      <c r="BX357" s="11284"/>
      <c r="BY357" s="11284"/>
      <c r="BZ357" s="11284"/>
      <c r="CA357" s="11284"/>
      <c r="CB357" s="11284"/>
      <c r="CC357" s="11284"/>
      <c r="CD357" s="11284"/>
      <c r="CE357" s="11284"/>
      <c r="CF357" s="11284"/>
      <c r="CG357" s="11284"/>
      <c r="CH357" s="11284"/>
      <c r="CI357" s="11284"/>
      <c r="CJ357" s="11284"/>
      <c r="CK357" s="11284"/>
      <c r="CL357" s="11284"/>
      <c r="CM357" s="11284"/>
      <c r="CN357" s="11284"/>
      <c r="CO357" s="11284"/>
      <c r="CP357" s="11284"/>
      <c r="CQ357" s="11284"/>
      <c r="CR357" s="11284"/>
      <c r="CS357" s="11284"/>
      <c r="CT357" s="11284"/>
      <c r="CU357" s="11284"/>
      <c r="CV357" s="11284"/>
      <c r="CW357" s="11284"/>
      <c r="CX357" s="11284"/>
      <c r="CY357" s="11284"/>
      <c r="CZ357" s="11284"/>
      <c r="DA357" s="11284"/>
      <c r="DB357" s="11284"/>
      <c r="DC357" s="11284"/>
      <c r="DD357" s="11284"/>
      <c r="DE357" s="11284"/>
      <c r="DF357" s="11284"/>
      <c r="DG357" s="11284"/>
      <c r="DH357" s="11284"/>
      <c r="DI357" s="11284"/>
      <c r="DJ357" s="11284"/>
      <c r="DK357" s="11284"/>
      <c r="DL357" s="11284"/>
      <c r="DM357" s="11284"/>
      <c r="DN357" s="11284"/>
      <c r="DO357" s="11284"/>
      <c r="DP357" s="11284"/>
      <c r="DQ357" s="11284"/>
      <c r="DR357" s="11284"/>
      <c r="DS357" s="11284"/>
      <c r="DT357" s="11284"/>
      <c r="DU357" s="11284"/>
      <c r="DV357" s="11284"/>
      <c r="DW357" s="11284"/>
      <c r="DX357" s="11284"/>
      <c r="DY357" s="11284"/>
      <c r="DZ357" s="11284"/>
      <c r="EA357" s="11284"/>
      <c r="EB357" s="11284"/>
      <c r="EC357" s="11284"/>
      <c r="ED357" s="11284"/>
      <c r="EE357" s="11284"/>
      <c r="EF357" s="11284"/>
      <c r="EG357" s="11284"/>
      <c r="EH357" s="11284"/>
      <c r="EI357" s="11284"/>
      <c r="EJ357" s="11284"/>
      <c r="EK357" s="11284"/>
      <c r="EL357" s="11285"/>
      <c r="EM357" s="14483"/>
      <c r="EN357" s="14483"/>
      <c r="EO357" s="14483"/>
      <c r="EP357" s="14483"/>
      <c r="EQ357" s="14483"/>
      <c r="ER357" s="14483"/>
      <c r="ES357" s="14483"/>
      <c r="ET357" s="14483"/>
      <c r="EU357" s="14483"/>
      <c r="EV357" s="14483"/>
      <c r="EW357" s="14483"/>
      <c r="EX357" s="11284"/>
      <c r="EY357" s="11284"/>
      <c r="EZ357" s="10500"/>
      <c r="FA357" s="10501"/>
      <c r="FB357" s="10501" t="str">
        <f t="shared" si="5"/>
        <v>Добавить территорию для дифференциации</v>
      </c>
      <c r="FC357" s="10501"/>
      <c r="FD357" s="10501"/>
    </row>
    <row r="358" spans="1:160" s="14418" customFormat="1" ht="0" hidden="1" customHeight="1">
      <c r="A358" s="1193"/>
      <c r="B358" s="1193"/>
      <c r="C358" s="1193"/>
      <c r="D358" s="1193"/>
      <c r="E358" s="1221"/>
      <c r="F358" s="1193"/>
      <c r="G358" s="1193"/>
      <c r="H358" s="1193"/>
      <c r="I358" s="1193"/>
      <c r="J358" s="1193"/>
      <c r="K358" s="1193"/>
      <c r="L358" s="1365"/>
      <c r="M358" s="1200"/>
      <c r="N358" s="1200"/>
      <c r="P358" s="1195"/>
      <c r="Q358" s="1196"/>
      <c r="R358" s="1195"/>
      <c r="S358" s="1201"/>
      <c r="T358" s="1204" t="s">
        <v>390</v>
      </c>
      <c r="U358" s="1203"/>
      <c r="V358" s="1203"/>
      <c r="W358" s="1203"/>
      <c r="X358" s="1203"/>
      <c r="Y358" s="1203"/>
      <c r="Z358" s="1203"/>
      <c r="AA358" s="1203"/>
      <c r="AB358" s="1203"/>
      <c r="AC358" s="1203"/>
      <c r="AD358" s="1203"/>
      <c r="AE358" s="1203"/>
      <c r="AF358" s="1203"/>
      <c r="AG358" s="1203"/>
      <c r="AH358" s="1203"/>
      <c r="AI358" s="1203"/>
      <c r="AJ358" s="1203"/>
      <c r="AK358" s="1203"/>
      <c r="AL358" s="1203"/>
      <c r="AM358" s="1203"/>
      <c r="AN358" s="1203"/>
      <c r="AO358" s="1203"/>
      <c r="AP358" s="1203"/>
      <c r="AQ358" s="1203"/>
      <c r="AR358" s="2192"/>
      <c r="AS358" s="2192"/>
      <c r="AT358" s="2192"/>
      <c r="AU358" s="2192"/>
      <c r="AV358" s="2192"/>
      <c r="AW358" s="2192"/>
      <c r="AX358" s="2192"/>
      <c r="AY358" s="2192"/>
      <c r="AZ358" s="2192"/>
      <c r="BA358" s="2192"/>
      <c r="BB358" s="2192"/>
      <c r="BC358" s="2192"/>
      <c r="BD358" s="2192"/>
      <c r="BE358" s="2192"/>
      <c r="BF358" s="2192"/>
      <c r="BG358" s="2192"/>
      <c r="BH358" s="2192"/>
      <c r="BI358" s="2192"/>
      <c r="BJ358" s="2192"/>
      <c r="BK358" s="2192"/>
      <c r="BL358" s="2192"/>
      <c r="BM358" s="2192"/>
      <c r="BN358" s="2192"/>
      <c r="BO358" s="2192"/>
      <c r="BP358" s="2192"/>
      <c r="BQ358" s="2192"/>
      <c r="BR358" s="2192"/>
      <c r="BS358" s="2192"/>
      <c r="BT358" s="2192"/>
      <c r="BU358" s="2192"/>
      <c r="BV358" s="2192"/>
      <c r="BW358" s="2192"/>
      <c r="BX358" s="2192"/>
      <c r="BY358" s="2192"/>
      <c r="BZ358" s="2192"/>
      <c r="CA358" s="2192"/>
      <c r="CB358" s="2192"/>
      <c r="CC358" s="2192"/>
      <c r="CD358" s="2192"/>
      <c r="CE358" s="2192"/>
      <c r="CF358" s="2192"/>
      <c r="CG358" s="2192"/>
      <c r="CH358" s="2192"/>
      <c r="CI358" s="2192"/>
      <c r="CJ358" s="2192"/>
      <c r="CK358" s="2192"/>
      <c r="CL358" s="2192"/>
      <c r="CM358" s="2192"/>
      <c r="CN358" s="2192"/>
      <c r="CO358" s="2192"/>
      <c r="CP358" s="2192"/>
      <c r="CQ358" s="2192"/>
      <c r="CR358" s="2192"/>
      <c r="CS358" s="2192"/>
      <c r="CT358" s="2192"/>
      <c r="CU358" s="2192"/>
      <c r="CV358" s="2192"/>
      <c r="CW358" s="2192"/>
      <c r="CX358" s="2192"/>
      <c r="CY358" s="2192"/>
      <c r="CZ358" s="2192"/>
      <c r="DA358" s="2192"/>
      <c r="DB358" s="2192"/>
      <c r="DC358" s="2192"/>
      <c r="DD358" s="2192"/>
      <c r="DE358" s="2192"/>
      <c r="DF358" s="2192"/>
      <c r="DG358" s="2192"/>
      <c r="DH358" s="2192"/>
      <c r="DI358" s="2192"/>
      <c r="DJ358" s="2192"/>
      <c r="DK358" s="2192"/>
      <c r="DL358" s="2192"/>
      <c r="DM358" s="2192"/>
      <c r="DN358" s="2192"/>
      <c r="DO358" s="2192"/>
      <c r="DP358" s="2192"/>
      <c r="DQ358" s="2192"/>
      <c r="DR358" s="2192"/>
      <c r="DS358" s="2192"/>
      <c r="DT358" s="2192"/>
      <c r="DU358" s="2192"/>
      <c r="DV358" s="2192"/>
      <c r="DW358" s="2192"/>
      <c r="DX358" s="2192"/>
      <c r="DY358" s="2192"/>
      <c r="DZ358" s="2192"/>
      <c r="EA358" s="2192"/>
      <c r="EB358" s="2192"/>
      <c r="EC358" s="2192"/>
      <c r="ED358" s="2192"/>
      <c r="EE358" s="2192"/>
      <c r="EF358" s="2192"/>
      <c r="EG358" s="2192"/>
      <c r="EH358" s="2192"/>
      <c r="EI358" s="2192"/>
      <c r="EJ358" s="2192"/>
      <c r="EK358" s="2192"/>
      <c r="EL358" s="2192"/>
      <c r="EM358" s="14483"/>
      <c r="EN358" s="14483"/>
      <c r="EO358" s="14483"/>
      <c r="EP358" s="14483"/>
      <c r="EQ358" s="14483"/>
      <c r="ER358" s="14483"/>
      <c r="ES358" s="14483"/>
      <c r="ET358" s="14483"/>
      <c r="EU358" s="14483"/>
      <c r="EV358" s="14483"/>
      <c r="EW358" s="14483"/>
      <c r="EX358" s="1203"/>
      <c r="EY358" s="1203"/>
      <c r="FA358" s="687"/>
      <c r="FB358" s="687" t="str">
        <f t="shared" si="5"/>
        <v>Добавить наименование тарифа</v>
      </c>
      <c r="FC358" s="687"/>
      <c r="FD358" s="687"/>
    </row>
    <row r="359" spans="1:160" ht="11.25" customHeight="1">
      <c r="M359" s="1041"/>
      <c r="N359" s="1041"/>
      <c r="O359" s="443"/>
      <c r="P359" s="1036"/>
      <c r="Q359" s="1036"/>
      <c r="R359" s="1036"/>
      <c r="S359" s="1036"/>
      <c r="AR359" s="1892"/>
      <c r="AS359" s="1892"/>
      <c r="AT359" s="1892"/>
      <c r="AU359" s="1892"/>
      <c r="AV359" s="1892"/>
      <c r="AW359" s="1892"/>
      <c r="AX359" s="1892"/>
      <c r="AY359" s="1892"/>
      <c r="AZ359" s="1892"/>
      <c r="BA359" s="1892"/>
      <c r="BB359" s="1892"/>
      <c r="BC359" s="1892"/>
      <c r="BD359" s="1892"/>
      <c r="BE359" s="1892"/>
      <c r="BF359" s="1892"/>
      <c r="BG359" s="1892"/>
      <c r="BH359" s="1892"/>
      <c r="BI359" s="1892"/>
      <c r="BJ359" s="1892"/>
      <c r="BK359" s="1892"/>
      <c r="BL359" s="1892"/>
      <c r="BM359" s="1892"/>
      <c r="BN359" s="1892"/>
      <c r="BO359" s="1892"/>
      <c r="BP359" s="1892"/>
      <c r="BQ359" s="1892"/>
      <c r="BR359" s="1892"/>
      <c r="BS359" s="1892"/>
      <c r="BT359" s="1892"/>
      <c r="BU359" s="1892"/>
      <c r="BV359" s="1892"/>
      <c r="BW359" s="1892"/>
      <c r="BX359" s="1892"/>
      <c r="BY359" s="1892"/>
      <c r="BZ359" s="1892"/>
      <c r="CA359" s="1892"/>
      <c r="CB359" s="1892"/>
      <c r="CC359" s="1892"/>
      <c r="CD359" s="1892"/>
      <c r="CE359" s="1892"/>
      <c r="CF359" s="1892"/>
      <c r="CG359" s="1892"/>
      <c r="CH359" s="1892"/>
      <c r="CI359" s="1892"/>
      <c r="CJ359" s="1892"/>
      <c r="CK359" s="1892"/>
      <c r="CL359" s="1892"/>
      <c r="CM359" s="1892"/>
      <c r="CN359" s="1892"/>
      <c r="CO359" s="1892"/>
      <c r="CP359" s="1892"/>
      <c r="CQ359" s="1892"/>
      <c r="CR359" s="1892"/>
      <c r="CS359" s="1892"/>
      <c r="CT359" s="1892"/>
      <c r="CU359" s="1892"/>
      <c r="CV359" s="1892"/>
      <c r="CW359" s="1892"/>
      <c r="CX359" s="1892"/>
      <c r="CY359" s="1892"/>
      <c r="CZ359" s="1892"/>
      <c r="DA359" s="1892"/>
      <c r="DB359" s="1892"/>
      <c r="DC359" s="1892"/>
      <c r="DD359" s="1892"/>
      <c r="DE359" s="1892"/>
      <c r="DF359" s="1892"/>
      <c r="DG359" s="1892"/>
      <c r="DH359" s="1892"/>
      <c r="DI359" s="1892"/>
      <c r="DJ359" s="1892"/>
      <c r="DK359" s="1892"/>
      <c r="DL359" s="1892"/>
      <c r="DM359" s="1892"/>
      <c r="DN359" s="1892"/>
      <c r="DO359" s="1892"/>
      <c r="DP359" s="1892"/>
      <c r="DQ359" s="1892"/>
      <c r="DR359" s="1892"/>
      <c r="DS359" s="1892"/>
      <c r="DT359" s="1892"/>
      <c r="DU359" s="1892"/>
      <c r="DV359" s="1892"/>
      <c r="DW359" s="1892"/>
      <c r="DX359" s="1892"/>
      <c r="DY359" s="1892"/>
      <c r="DZ359" s="1892"/>
      <c r="EA359" s="1892"/>
      <c r="EB359" s="1892"/>
      <c r="EC359" s="1892"/>
      <c r="ED359" s="1892"/>
      <c r="EE359" s="1892"/>
      <c r="EF359" s="1892"/>
      <c r="EG359" s="1892"/>
      <c r="EH359" s="1892"/>
      <c r="EI359" s="1892"/>
      <c r="EJ359" s="1892"/>
      <c r="EK359" s="1892"/>
      <c r="EL359" s="1892"/>
      <c r="EM359" s="14447"/>
      <c r="EN359" s="14447"/>
      <c r="EO359" s="14447"/>
      <c r="EP359" s="14447"/>
      <c r="EQ359" s="14447"/>
      <c r="ER359" s="14447"/>
      <c r="ES359" s="14447"/>
      <c r="ET359" s="14447"/>
      <c r="EU359" s="14447"/>
      <c r="EV359" s="14447"/>
      <c r="EW359" s="14447"/>
      <c r="EZ359" s="1036"/>
      <c r="FA359" s="1036"/>
      <c r="FB359" s="1036"/>
      <c r="FC359" s="1036"/>
      <c r="FD359" s="1036"/>
    </row>
    <row r="360" spans="1:160" ht="14.25" customHeight="1">
      <c r="O360" s="443"/>
      <c r="S360" s="1135"/>
      <c r="T360" s="16144"/>
      <c r="U360" s="16144"/>
      <c r="V360" s="16144"/>
      <c r="W360" s="16144"/>
      <c r="X360" s="16144"/>
      <c r="Y360" s="16144"/>
      <c r="Z360" s="16144"/>
      <c r="AA360" s="16144"/>
      <c r="AB360" s="16144"/>
      <c r="AC360" s="16144"/>
      <c r="AD360" s="16144"/>
      <c r="AE360" s="16144"/>
      <c r="AF360" s="16144"/>
      <c r="AG360" s="16144"/>
      <c r="AH360" s="16144"/>
      <c r="AI360" s="16144"/>
      <c r="AJ360" s="16144"/>
      <c r="AK360" s="16144"/>
      <c r="AL360" s="16144"/>
      <c r="AM360" s="16144"/>
      <c r="AN360" s="16144"/>
      <c r="AO360" s="16144"/>
      <c r="AP360" s="16144"/>
      <c r="AQ360" s="16144"/>
      <c r="AR360" s="16144"/>
      <c r="AS360" s="16144"/>
      <c r="AT360" s="16144"/>
      <c r="AU360" s="16144"/>
      <c r="AV360" s="16144"/>
      <c r="AW360" s="16144"/>
      <c r="AX360" s="16144"/>
      <c r="AY360" s="16144"/>
      <c r="AZ360" s="16144"/>
      <c r="BA360" s="16144"/>
      <c r="BB360" s="16144"/>
      <c r="BC360" s="16144"/>
      <c r="BD360" s="16144"/>
      <c r="BE360" s="16144"/>
      <c r="BF360" s="16144"/>
      <c r="BG360" s="16144"/>
      <c r="BH360" s="16144"/>
      <c r="BI360" s="16144"/>
      <c r="BJ360" s="16144"/>
      <c r="BK360" s="16144"/>
      <c r="BL360" s="16144"/>
      <c r="BM360" s="16144"/>
      <c r="BN360" s="16144"/>
      <c r="BO360" s="16144"/>
      <c r="BP360" s="16144"/>
      <c r="BQ360" s="16144"/>
      <c r="BR360" s="16144"/>
      <c r="BS360" s="16144"/>
      <c r="BT360" s="16144"/>
      <c r="BU360" s="16144"/>
      <c r="BV360" s="16144"/>
      <c r="BW360" s="16144"/>
      <c r="BX360" s="16144"/>
      <c r="BY360" s="16144"/>
      <c r="BZ360" s="16144"/>
      <c r="CA360" s="16144"/>
      <c r="CB360" s="16144"/>
      <c r="CC360" s="16144"/>
      <c r="CD360" s="16144"/>
      <c r="CE360" s="16144"/>
      <c r="CF360" s="16144"/>
      <c r="CG360" s="16144"/>
      <c r="CH360" s="16144"/>
      <c r="CI360" s="16144"/>
      <c r="CJ360" s="16144"/>
      <c r="CK360" s="16144"/>
      <c r="CL360" s="16144"/>
      <c r="CM360" s="16144"/>
      <c r="CN360" s="16144"/>
      <c r="CO360" s="16144"/>
      <c r="CP360" s="16144"/>
      <c r="CQ360" s="16144"/>
      <c r="CR360" s="16144"/>
      <c r="CS360" s="16144"/>
      <c r="CT360" s="16144"/>
      <c r="CU360" s="16144"/>
      <c r="CV360" s="16144"/>
      <c r="CW360" s="16144"/>
      <c r="CX360" s="16144"/>
      <c r="CY360" s="16144"/>
      <c r="CZ360" s="16144"/>
      <c r="DA360" s="16144"/>
      <c r="DB360" s="16144"/>
      <c r="DC360" s="16144"/>
      <c r="DD360" s="16144"/>
      <c r="DE360" s="16144"/>
      <c r="DF360" s="16144"/>
      <c r="DG360" s="16144"/>
      <c r="DH360" s="16144"/>
      <c r="DI360" s="16144"/>
      <c r="DJ360" s="16144"/>
      <c r="DK360" s="16144"/>
      <c r="DL360" s="16144"/>
      <c r="DM360" s="16144"/>
      <c r="DN360" s="16144"/>
      <c r="DO360" s="16144"/>
      <c r="DP360" s="16144"/>
      <c r="DQ360" s="16144"/>
      <c r="DR360" s="16144"/>
      <c r="DS360" s="16144"/>
      <c r="DT360" s="16144"/>
      <c r="DU360" s="16144"/>
      <c r="DV360" s="16144"/>
      <c r="DW360" s="16144"/>
      <c r="DX360" s="16144"/>
      <c r="DY360" s="16144"/>
      <c r="DZ360" s="16144"/>
      <c r="EA360" s="16144"/>
      <c r="EB360" s="16144"/>
      <c r="EC360" s="16144"/>
      <c r="ED360" s="16144"/>
      <c r="EE360" s="16144"/>
      <c r="EF360" s="16144"/>
      <c r="EG360" s="16144"/>
      <c r="EH360" s="16144"/>
      <c r="EI360" s="16144"/>
      <c r="EJ360" s="16144"/>
      <c r="EK360" s="16144"/>
      <c r="EL360" s="16144"/>
      <c r="EM360" s="16144"/>
      <c r="EN360" s="16144"/>
      <c r="EO360" s="16144"/>
      <c r="EP360" s="16144"/>
      <c r="EQ360" s="16144"/>
      <c r="ER360" s="16144"/>
      <c r="ES360" s="16144"/>
      <c r="ET360" s="16144"/>
      <c r="EU360" s="16144"/>
      <c r="EV360" s="16144"/>
      <c r="EW360" s="16144"/>
      <c r="EX360" s="16144"/>
      <c r="EY360" s="16144"/>
    </row>
    <row r="361" spans="1:160" ht="14.25" customHeight="1">
      <c r="O361" s="443"/>
      <c r="AR361" s="1892"/>
      <c r="AS361" s="1892"/>
      <c r="AT361" s="1892"/>
      <c r="AU361" s="1892"/>
      <c r="AV361" s="1892"/>
      <c r="AW361" s="1892"/>
      <c r="AX361" s="1892"/>
      <c r="AY361" s="1892"/>
      <c r="AZ361" s="1892"/>
      <c r="BA361" s="1892"/>
      <c r="BB361" s="1892"/>
      <c r="BC361" s="1892"/>
      <c r="BD361" s="1892"/>
      <c r="BE361" s="1892"/>
      <c r="BF361" s="1892"/>
      <c r="BG361" s="1892"/>
      <c r="BH361" s="1892"/>
      <c r="BI361" s="1892"/>
      <c r="BJ361" s="1892"/>
      <c r="BK361" s="1892"/>
      <c r="BL361" s="1892"/>
      <c r="BM361" s="1892"/>
      <c r="BN361" s="1892"/>
      <c r="BO361" s="1892"/>
      <c r="BP361" s="1892"/>
      <c r="BQ361" s="1892"/>
      <c r="BR361" s="1892"/>
      <c r="BS361" s="1892"/>
      <c r="BT361" s="1892"/>
      <c r="BU361" s="1892"/>
      <c r="BV361" s="1892"/>
      <c r="BW361" s="1892"/>
      <c r="BX361" s="1892"/>
      <c r="BY361" s="1892"/>
      <c r="BZ361" s="1892"/>
      <c r="CA361" s="1892"/>
      <c r="CB361" s="1892"/>
      <c r="CC361" s="1892"/>
      <c r="CD361" s="1892"/>
      <c r="CE361" s="1892"/>
      <c r="CF361" s="1892"/>
      <c r="CG361" s="1892"/>
      <c r="CH361" s="1892"/>
      <c r="CI361" s="1892"/>
      <c r="CJ361" s="1892"/>
      <c r="CK361" s="1892"/>
      <c r="CL361" s="1892"/>
      <c r="CM361" s="1892"/>
      <c r="CN361" s="1892"/>
      <c r="CO361" s="1892"/>
      <c r="CP361" s="1892"/>
      <c r="CQ361" s="1892"/>
      <c r="CR361" s="1892"/>
      <c r="CS361" s="1892"/>
      <c r="CT361" s="1892"/>
      <c r="CU361" s="1892"/>
      <c r="CV361" s="1892"/>
      <c r="CW361" s="1892"/>
      <c r="CX361" s="1892"/>
      <c r="CY361" s="1892"/>
      <c r="CZ361" s="1892"/>
      <c r="DA361" s="1892"/>
      <c r="DB361" s="1892"/>
      <c r="DC361" s="1892"/>
      <c r="DD361" s="1892"/>
      <c r="DE361" s="1892"/>
      <c r="DF361" s="1892"/>
      <c r="DG361" s="1892"/>
      <c r="DH361" s="1892"/>
      <c r="DI361" s="1892"/>
      <c r="DJ361" s="1892"/>
      <c r="DK361" s="1892"/>
      <c r="DL361" s="1892"/>
      <c r="DM361" s="1892"/>
      <c r="DN361" s="1892"/>
      <c r="DO361" s="1892"/>
      <c r="DP361" s="1892"/>
      <c r="DQ361" s="1892"/>
      <c r="DR361" s="1892"/>
      <c r="DS361" s="1892"/>
      <c r="DT361" s="1892"/>
      <c r="DU361" s="1892"/>
      <c r="DV361" s="1892"/>
      <c r="DW361" s="1892"/>
      <c r="DX361" s="1892"/>
      <c r="DY361" s="1892"/>
      <c r="DZ361" s="1892"/>
      <c r="EA361" s="1892"/>
      <c r="EB361" s="1892"/>
      <c r="EC361" s="1892"/>
      <c r="ED361" s="1892"/>
      <c r="EE361" s="1892"/>
      <c r="EF361" s="1892"/>
      <c r="EG361" s="1892"/>
      <c r="EH361" s="1892"/>
      <c r="EI361" s="1892"/>
      <c r="EJ361" s="1892"/>
      <c r="EK361" s="1892"/>
      <c r="EL361" s="1892"/>
      <c r="EM361" s="14447"/>
      <c r="EN361" s="14447"/>
      <c r="EO361" s="14447"/>
      <c r="EP361" s="14447"/>
      <c r="EQ361" s="14447"/>
      <c r="ER361" s="14447"/>
      <c r="ES361" s="14447"/>
      <c r="ET361" s="14447"/>
      <c r="EU361" s="14447"/>
      <c r="EV361" s="14447"/>
      <c r="EW361" s="14447"/>
    </row>
    <row r="362" spans="1:160" ht="14.25" customHeight="1">
      <c r="O362" s="443"/>
      <c r="S362" s="1135"/>
      <c r="T362" s="16144"/>
      <c r="U362" s="16144"/>
      <c r="V362" s="16144"/>
      <c r="W362" s="16144"/>
      <c r="X362" s="16144"/>
      <c r="Y362" s="16144"/>
      <c r="Z362" s="16144"/>
      <c r="AA362" s="16144"/>
      <c r="AB362" s="16144"/>
      <c r="AC362" s="16144"/>
      <c r="AD362" s="16144"/>
      <c r="AE362" s="16144"/>
      <c r="AF362" s="16144"/>
      <c r="AG362" s="16144"/>
      <c r="AH362" s="16144"/>
      <c r="AI362" s="16144"/>
      <c r="AJ362" s="16144"/>
      <c r="AK362" s="16144"/>
      <c r="AL362" s="16144"/>
      <c r="AM362" s="16144"/>
      <c r="AN362" s="16144"/>
      <c r="AO362" s="16144"/>
      <c r="AP362" s="16144"/>
      <c r="AQ362" s="16144"/>
      <c r="AR362" s="16144"/>
      <c r="AS362" s="16144"/>
      <c r="AT362" s="16144"/>
      <c r="AU362" s="16144"/>
      <c r="AV362" s="16144"/>
      <c r="AW362" s="16144"/>
      <c r="AX362" s="16144"/>
      <c r="AY362" s="16144"/>
      <c r="AZ362" s="16144"/>
      <c r="BA362" s="16144"/>
      <c r="BB362" s="16144"/>
      <c r="BC362" s="16144"/>
      <c r="BD362" s="16144"/>
      <c r="BE362" s="16144"/>
      <c r="BF362" s="16144"/>
      <c r="BG362" s="16144"/>
      <c r="BH362" s="16144"/>
      <c r="BI362" s="16144"/>
      <c r="BJ362" s="16144"/>
      <c r="BK362" s="16144"/>
      <c r="BL362" s="16144"/>
      <c r="BM362" s="16144"/>
      <c r="BN362" s="16144"/>
      <c r="BO362" s="16144"/>
      <c r="BP362" s="16144"/>
      <c r="BQ362" s="16144"/>
      <c r="BR362" s="16144"/>
      <c r="BS362" s="16144"/>
      <c r="BT362" s="16144"/>
      <c r="BU362" s="16144"/>
      <c r="BV362" s="16144"/>
      <c r="BW362" s="16144"/>
      <c r="BX362" s="16144"/>
      <c r="BY362" s="16144"/>
      <c r="BZ362" s="16144"/>
      <c r="CA362" s="16144"/>
      <c r="CB362" s="16144"/>
      <c r="CC362" s="16144"/>
      <c r="CD362" s="16144"/>
      <c r="CE362" s="16144"/>
      <c r="CF362" s="16144"/>
      <c r="CG362" s="16144"/>
      <c r="CH362" s="16144"/>
      <c r="CI362" s="16144"/>
      <c r="CJ362" s="16144"/>
      <c r="CK362" s="16144"/>
      <c r="CL362" s="16144"/>
      <c r="CM362" s="16144"/>
      <c r="CN362" s="16144"/>
      <c r="CO362" s="16144"/>
      <c r="CP362" s="16144"/>
      <c r="CQ362" s="16144"/>
      <c r="CR362" s="16144"/>
      <c r="CS362" s="16144"/>
      <c r="CT362" s="16144"/>
      <c r="CU362" s="16144"/>
      <c r="CV362" s="16144"/>
      <c r="CW362" s="16144"/>
      <c r="CX362" s="16144"/>
      <c r="CY362" s="16144"/>
      <c r="CZ362" s="16144"/>
      <c r="DA362" s="16144"/>
      <c r="DB362" s="16144"/>
      <c r="DC362" s="16144"/>
      <c r="DD362" s="16144"/>
      <c r="DE362" s="16144"/>
      <c r="DF362" s="16144"/>
      <c r="DG362" s="16144"/>
      <c r="DH362" s="16144"/>
      <c r="DI362" s="16144"/>
      <c r="DJ362" s="16144"/>
      <c r="DK362" s="16144"/>
      <c r="DL362" s="16144"/>
      <c r="DM362" s="16144"/>
      <c r="DN362" s="16144"/>
      <c r="DO362" s="16144"/>
      <c r="DP362" s="16144"/>
      <c r="DQ362" s="16144"/>
      <c r="DR362" s="16144"/>
      <c r="DS362" s="16144"/>
      <c r="DT362" s="16144"/>
      <c r="DU362" s="16144"/>
      <c r="DV362" s="16144"/>
      <c r="DW362" s="16144"/>
      <c r="DX362" s="16144"/>
      <c r="DY362" s="16144"/>
      <c r="DZ362" s="16144"/>
      <c r="EA362" s="16144"/>
      <c r="EB362" s="16144"/>
      <c r="EC362" s="16144"/>
      <c r="ED362" s="16144"/>
      <c r="EE362" s="16144"/>
      <c r="EF362" s="16144"/>
      <c r="EG362" s="16144"/>
      <c r="EH362" s="16144"/>
      <c r="EI362" s="16144"/>
      <c r="EJ362" s="16144"/>
      <c r="EK362" s="16144"/>
      <c r="EL362" s="16144"/>
      <c r="EM362" s="16144"/>
      <c r="EN362" s="16144"/>
      <c r="EO362" s="16144"/>
      <c r="EP362" s="16144"/>
      <c r="EQ362" s="16144"/>
      <c r="ER362" s="16144"/>
      <c r="ES362" s="16144"/>
      <c r="ET362" s="16144"/>
      <c r="EU362" s="16144"/>
      <c r="EV362" s="16144"/>
      <c r="EW362" s="16144"/>
      <c r="EX362" s="16144"/>
      <c r="EY362" s="16144"/>
    </row>
  </sheetData>
  <sheetProtection formatColumns="0" formatRows="0" insertRows="0" deleteColumns="0" deleteRows="0" sort="0" autoFilter="0"/>
  <mergeCells count="2389">
    <mergeCell ref="EW351:EW352"/>
    <mergeCell ref="ET301:ET302"/>
    <mergeCell ref="EU301:EU302"/>
    <mergeCell ref="EV301:EV302"/>
    <mergeCell ref="EW301:EW302"/>
    <mergeCell ref="ET311:ET312"/>
    <mergeCell ref="EU311:EU312"/>
    <mergeCell ref="EV311:EV312"/>
    <mergeCell ref="EW311:EW312"/>
    <mergeCell ref="ET321:ET322"/>
    <mergeCell ref="EU321:EU322"/>
    <mergeCell ref="EV321:EV322"/>
    <mergeCell ref="EW321:EW322"/>
    <mergeCell ref="ET331:ET332"/>
    <mergeCell ref="EU331:EU332"/>
    <mergeCell ref="EV331:EV332"/>
    <mergeCell ref="EW331:EW332"/>
    <mergeCell ref="ET341:ET342"/>
    <mergeCell ref="EU341:EU342"/>
    <mergeCell ref="EV341:EV342"/>
    <mergeCell ref="EW341:EW342"/>
    <mergeCell ref="EW251:EW252"/>
    <mergeCell ref="ET263:ET264"/>
    <mergeCell ref="EU263:EU264"/>
    <mergeCell ref="EV263:EV264"/>
    <mergeCell ref="EW263:EW264"/>
    <mergeCell ref="ET271:ET272"/>
    <mergeCell ref="EU271:EU272"/>
    <mergeCell ref="EV271:EV272"/>
    <mergeCell ref="EW271:EW272"/>
    <mergeCell ref="ET281:ET282"/>
    <mergeCell ref="EU281:EU282"/>
    <mergeCell ref="EV281:EV282"/>
    <mergeCell ref="EW281:EW282"/>
    <mergeCell ref="ET291:ET292"/>
    <mergeCell ref="EU291:EU292"/>
    <mergeCell ref="EV291:EV292"/>
    <mergeCell ref="EW291:EW292"/>
    <mergeCell ref="ET201:ET202"/>
    <mergeCell ref="EU201:EU202"/>
    <mergeCell ref="EV201:EV202"/>
    <mergeCell ref="EW201:EW202"/>
    <mergeCell ref="ET211:ET212"/>
    <mergeCell ref="EU211:EU212"/>
    <mergeCell ref="EV211:EV212"/>
    <mergeCell ref="EW211:EW212"/>
    <mergeCell ref="ET221:ET222"/>
    <mergeCell ref="EU221:EU222"/>
    <mergeCell ref="EV221:EV222"/>
    <mergeCell ref="EW221:EW222"/>
    <mergeCell ref="ET231:ET232"/>
    <mergeCell ref="EU231:EU232"/>
    <mergeCell ref="EV231:EV232"/>
    <mergeCell ref="EW231:EW232"/>
    <mergeCell ref="ET241:ET242"/>
    <mergeCell ref="EU241:EU242"/>
    <mergeCell ref="EV241:EV242"/>
    <mergeCell ref="EW241:EW242"/>
    <mergeCell ref="ET151:ET152"/>
    <mergeCell ref="EU151:EU152"/>
    <mergeCell ref="EV151:EV152"/>
    <mergeCell ref="EW151:EW152"/>
    <mergeCell ref="ET163:ET164"/>
    <mergeCell ref="EU163:EU164"/>
    <mergeCell ref="EV163:EV164"/>
    <mergeCell ref="EW163:EW164"/>
    <mergeCell ref="ET171:ET172"/>
    <mergeCell ref="EU171:EU172"/>
    <mergeCell ref="EV171:EV172"/>
    <mergeCell ref="EW171:EW172"/>
    <mergeCell ref="ET181:ET182"/>
    <mergeCell ref="EU181:EU182"/>
    <mergeCell ref="EV181:EV182"/>
    <mergeCell ref="EW181:EW182"/>
    <mergeCell ref="ET191:ET192"/>
    <mergeCell ref="EU191:EU192"/>
    <mergeCell ref="EV191:EV192"/>
    <mergeCell ref="EW191:EW192"/>
    <mergeCell ref="ET105:ET106"/>
    <mergeCell ref="EU105:EU106"/>
    <mergeCell ref="EV105:EV106"/>
    <mergeCell ref="EW105:EW106"/>
    <mergeCell ref="ET115:ET116"/>
    <mergeCell ref="EU115:EU116"/>
    <mergeCell ref="EV115:EV116"/>
    <mergeCell ref="EW115:EW116"/>
    <mergeCell ref="ET125:ET126"/>
    <mergeCell ref="EU125:EU126"/>
    <mergeCell ref="EV125:EV126"/>
    <mergeCell ref="EW125:EW126"/>
    <mergeCell ref="ET133:ET134"/>
    <mergeCell ref="EU133:EU134"/>
    <mergeCell ref="EV133:EV134"/>
    <mergeCell ref="EW133:EW134"/>
    <mergeCell ref="ET141:ET142"/>
    <mergeCell ref="EU141:EU142"/>
    <mergeCell ref="EV141:EV142"/>
    <mergeCell ref="EW141:EW142"/>
    <mergeCell ref="ET55:ET56"/>
    <mergeCell ref="EU55:EU56"/>
    <mergeCell ref="EV55:EV56"/>
    <mergeCell ref="EW55:EW56"/>
    <mergeCell ref="ET65:ET66"/>
    <mergeCell ref="EU65:EU66"/>
    <mergeCell ref="EV65:EV66"/>
    <mergeCell ref="EW65:EW66"/>
    <mergeCell ref="ET75:ET76"/>
    <mergeCell ref="EU75:EU76"/>
    <mergeCell ref="EV75:EV76"/>
    <mergeCell ref="EW75:EW76"/>
    <mergeCell ref="ET85:ET86"/>
    <mergeCell ref="EU85:EU86"/>
    <mergeCell ref="EV85:EV86"/>
    <mergeCell ref="EW85:EW86"/>
    <mergeCell ref="ET95:ET96"/>
    <mergeCell ref="EU95:EU96"/>
    <mergeCell ref="EV95:EV96"/>
    <mergeCell ref="EW95:EW96"/>
    <mergeCell ref="AC47:AC48"/>
    <mergeCell ref="AD47:AD48"/>
    <mergeCell ref="AE47:AE48"/>
    <mergeCell ref="EO39:EP39"/>
    <mergeCell ref="EN39:EN40"/>
    <mergeCell ref="EQ39:EQ40"/>
    <mergeCell ref="ER39:ES39"/>
    <mergeCell ref="EN38:EP38"/>
    <mergeCell ref="ET7:ET8"/>
    <mergeCell ref="EU7:EU8"/>
    <mergeCell ref="EV7:EV8"/>
    <mergeCell ref="EW7:EW8"/>
    <mergeCell ref="EM27:EV27"/>
    <mergeCell ref="EM28:EV28"/>
    <mergeCell ref="EM29:EV29"/>
    <mergeCell ref="EM30:EV30"/>
    <mergeCell ref="EM32:EV32"/>
    <mergeCell ref="EM33:EV33"/>
    <mergeCell ref="EM35:EW35"/>
    <mergeCell ref="EM37:EV37"/>
    <mergeCell ref="EW37:EW40"/>
    <mergeCell ref="EM38:EM40"/>
    <mergeCell ref="EQ38:ES38"/>
    <mergeCell ref="ET38:EV39"/>
    <mergeCell ref="EU40:EV40"/>
    <mergeCell ref="EU41:EV41"/>
    <mergeCell ref="ET47:ET48"/>
    <mergeCell ref="EU47:EU48"/>
    <mergeCell ref="EV47:EV48"/>
    <mergeCell ref="EW47:EW48"/>
    <mergeCell ref="DE47:DE48"/>
    <mergeCell ref="DB47:DB48"/>
    <mergeCell ref="DC47:DC48"/>
    <mergeCell ref="DD47:DD48"/>
    <mergeCell ref="DP47:DP48"/>
    <mergeCell ref="DM47:DM48"/>
    <mergeCell ref="DN47:DN48"/>
    <mergeCell ref="DO47:DO48"/>
    <mergeCell ref="EA47:EA48"/>
    <mergeCell ref="DX47:DX48"/>
    <mergeCell ref="DY47:DY48"/>
    <mergeCell ref="DZ47:DZ48"/>
    <mergeCell ref="EL47:EL48"/>
    <mergeCell ref="EI47:EI48"/>
    <mergeCell ref="EJ47:EJ48"/>
    <mergeCell ref="EK47:EK48"/>
    <mergeCell ref="AF47:AF48"/>
    <mergeCell ref="BB47:BB48"/>
    <mergeCell ref="AY47:AY48"/>
    <mergeCell ref="AZ47:AZ48"/>
    <mergeCell ref="BA47:BA48"/>
    <mergeCell ref="BM47:BM48"/>
    <mergeCell ref="BJ47:BJ48"/>
    <mergeCell ref="BK47:BK48"/>
    <mergeCell ref="BL47:BL48"/>
    <mergeCell ref="BX47:BX48"/>
    <mergeCell ref="BU47:BU48"/>
    <mergeCell ref="BV47:BV48"/>
    <mergeCell ref="BW47:BW48"/>
    <mergeCell ref="CI47:CI48"/>
    <mergeCell ref="CF47:CF48"/>
    <mergeCell ref="CG47:CG48"/>
    <mergeCell ref="CH47:CH48"/>
    <mergeCell ref="CT47:CT48"/>
    <mergeCell ref="CQ47:CQ48"/>
    <mergeCell ref="CR47:CR48"/>
    <mergeCell ref="CS47:CS48"/>
    <mergeCell ref="EY351:EY352"/>
    <mergeCell ref="AD351:AD352"/>
    <mergeCell ref="AE351:AE352"/>
    <mergeCell ref="AF351:AF352"/>
    <mergeCell ref="AN351:AN352"/>
    <mergeCell ref="AO351:AO352"/>
    <mergeCell ref="AP351:AP352"/>
    <mergeCell ref="AY351:AY352"/>
    <mergeCell ref="AZ351:AZ352"/>
    <mergeCell ref="BA351:BA352"/>
    <mergeCell ref="BB351:BB352"/>
    <mergeCell ref="BJ351:BJ352"/>
    <mergeCell ref="BK351:BK352"/>
    <mergeCell ref="BL351:BL352"/>
    <mergeCell ref="BM351:BM352"/>
    <mergeCell ref="BU351:BU352"/>
    <mergeCell ref="BV351:BV352"/>
    <mergeCell ref="BW351:BW352"/>
    <mergeCell ref="BX351:BX352"/>
    <mergeCell ref="CF351:CF352"/>
    <mergeCell ref="CG351:CG352"/>
    <mergeCell ref="CH351:CH352"/>
    <mergeCell ref="CI351:CI352"/>
    <mergeCell ref="CQ351:CQ352"/>
    <mergeCell ref="CR351:CR352"/>
    <mergeCell ref="CS351:CS352"/>
    <mergeCell ref="CT351:CT352"/>
    <mergeCell ref="DB351:DB352"/>
    <mergeCell ref="DC351:DC352"/>
    <mergeCell ref="DD351:DD352"/>
    <mergeCell ref="DE351:DE352"/>
    <mergeCell ref="DM351:DM352"/>
    <mergeCell ref="F347:F356"/>
    <mergeCell ref="V347:AF347"/>
    <mergeCell ref="AG347:EX347"/>
    <mergeCell ref="G348:G355"/>
    <mergeCell ref="V348:AF348"/>
    <mergeCell ref="AG348:EX348"/>
    <mergeCell ref="H349:H355"/>
    <mergeCell ref="I349:I354"/>
    <mergeCell ref="P349:P354"/>
    <mergeCell ref="V349:AF349"/>
    <mergeCell ref="AG349:EX349"/>
    <mergeCell ref="J350:J353"/>
    <mergeCell ref="Q350:Q353"/>
    <mergeCell ref="V350:AF350"/>
    <mergeCell ref="AG350:EX350"/>
    <mergeCell ref="K351:K352"/>
    <mergeCell ref="AC351:AC352"/>
    <mergeCell ref="AQ351:AQ352"/>
    <mergeCell ref="DN351:DN352"/>
    <mergeCell ref="DO351:DO352"/>
    <mergeCell ref="DP351:DP352"/>
    <mergeCell ref="DX351:DX352"/>
    <mergeCell ref="DY351:DY352"/>
    <mergeCell ref="DZ351:DZ352"/>
    <mergeCell ref="EA351:EA352"/>
    <mergeCell ref="EI351:EI352"/>
    <mergeCell ref="EJ351:EJ352"/>
    <mergeCell ref="EK351:EK352"/>
    <mergeCell ref="EL351:EL352"/>
    <mergeCell ref="ET351:ET352"/>
    <mergeCell ref="EU351:EU352"/>
    <mergeCell ref="EV351:EV352"/>
    <mergeCell ref="EY341:EY342"/>
    <mergeCell ref="AD341:AD342"/>
    <mergeCell ref="AE341:AE342"/>
    <mergeCell ref="AF341:AF342"/>
    <mergeCell ref="AN341:AN342"/>
    <mergeCell ref="AO341:AO342"/>
    <mergeCell ref="AP341:AP342"/>
    <mergeCell ref="AY341:AY342"/>
    <mergeCell ref="AZ341:AZ342"/>
    <mergeCell ref="BA341:BA342"/>
    <mergeCell ref="BB341:BB342"/>
    <mergeCell ref="BJ341:BJ342"/>
    <mergeCell ref="BK341:BK342"/>
    <mergeCell ref="BL341:BL342"/>
    <mergeCell ref="BM341:BM342"/>
    <mergeCell ref="BU341:BU342"/>
    <mergeCell ref="BV341:BV342"/>
    <mergeCell ref="BW341:BW342"/>
    <mergeCell ref="BX341:BX342"/>
    <mergeCell ref="CF341:CF342"/>
    <mergeCell ref="CG341:CG342"/>
    <mergeCell ref="CH341:CH342"/>
    <mergeCell ref="CI341:CI342"/>
    <mergeCell ref="CQ341:CQ342"/>
    <mergeCell ref="CR341:CR342"/>
    <mergeCell ref="CS341:CS342"/>
    <mergeCell ref="CT341:CT342"/>
    <mergeCell ref="DB341:DB342"/>
    <mergeCell ref="DC341:DC342"/>
    <mergeCell ref="DD341:DD342"/>
    <mergeCell ref="DE341:DE342"/>
    <mergeCell ref="DM341:DM342"/>
    <mergeCell ref="F337:F346"/>
    <mergeCell ref="V337:AF337"/>
    <mergeCell ref="AG337:EX337"/>
    <mergeCell ref="G338:G345"/>
    <mergeCell ref="V338:AF338"/>
    <mergeCell ref="AG338:EX338"/>
    <mergeCell ref="H339:H345"/>
    <mergeCell ref="I339:I344"/>
    <mergeCell ref="P339:P344"/>
    <mergeCell ref="V339:AF339"/>
    <mergeCell ref="AG339:EX339"/>
    <mergeCell ref="J340:J343"/>
    <mergeCell ref="Q340:Q343"/>
    <mergeCell ref="V340:AF340"/>
    <mergeCell ref="AG340:EX340"/>
    <mergeCell ref="K341:K342"/>
    <mergeCell ref="AC341:AC342"/>
    <mergeCell ref="AQ341:AQ342"/>
    <mergeCell ref="DN341:DN342"/>
    <mergeCell ref="DO341:DO342"/>
    <mergeCell ref="DP341:DP342"/>
    <mergeCell ref="DX341:DX342"/>
    <mergeCell ref="DY341:DY342"/>
    <mergeCell ref="DZ341:DZ342"/>
    <mergeCell ref="EA341:EA342"/>
    <mergeCell ref="EI341:EI342"/>
    <mergeCell ref="EJ341:EJ342"/>
    <mergeCell ref="EK341:EK342"/>
    <mergeCell ref="EL341:EL342"/>
    <mergeCell ref="EY331:EY332"/>
    <mergeCell ref="AD331:AD332"/>
    <mergeCell ref="AE331:AE332"/>
    <mergeCell ref="AF331:AF332"/>
    <mergeCell ref="AN331:AN332"/>
    <mergeCell ref="AO331:AO332"/>
    <mergeCell ref="AP331:AP332"/>
    <mergeCell ref="AY331:AY332"/>
    <mergeCell ref="AZ331:AZ332"/>
    <mergeCell ref="BA331:BA332"/>
    <mergeCell ref="BB331:BB332"/>
    <mergeCell ref="BJ331:BJ332"/>
    <mergeCell ref="BK331:BK332"/>
    <mergeCell ref="BL331:BL332"/>
    <mergeCell ref="BM331:BM332"/>
    <mergeCell ref="BU331:BU332"/>
    <mergeCell ref="BV331:BV332"/>
    <mergeCell ref="BW331:BW332"/>
    <mergeCell ref="BX331:BX332"/>
    <mergeCell ref="CF331:CF332"/>
    <mergeCell ref="CG331:CG332"/>
    <mergeCell ref="CH331:CH332"/>
    <mergeCell ref="CI331:CI332"/>
    <mergeCell ref="CQ331:CQ332"/>
    <mergeCell ref="CR331:CR332"/>
    <mergeCell ref="CS331:CS332"/>
    <mergeCell ref="CT331:CT332"/>
    <mergeCell ref="DB331:DB332"/>
    <mergeCell ref="DC331:DC332"/>
    <mergeCell ref="DD331:DD332"/>
    <mergeCell ref="DE331:DE332"/>
    <mergeCell ref="DM331:DM332"/>
    <mergeCell ref="F327:F336"/>
    <mergeCell ref="V327:AF327"/>
    <mergeCell ref="AG327:EX327"/>
    <mergeCell ref="G328:G335"/>
    <mergeCell ref="V328:AF328"/>
    <mergeCell ref="AG328:EX328"/>
    <mergeCell ref="H329:H335"/>
    <mergeCell ref="I329:I334"/>
    <mergeCell ref="P329:P334"/>
    <mergeCell ref="V329:AF329"/>
    <mergeCell ref="AG329:EX329"/>
    <mergeCell ref="J330:J333"/>
    <mergeCell ref="Q330:Q333"/>
    <mergeCell ref="V330:AF330"/>
    <mergeCell ref="AG330:EX330"/>
    <mergeCell ref="K331:K332"/>
    <mergeCell ref="AC331:AC332"/>
    <mergeCell ref="AQ331:AQ332"/>
    <mergeCell ref="DN331:DN332"/>
    <mergeCell ref="DO331:DO332"/>
    <mergeCell ref="DP331:DP332"/>
    <mergeCell ref="DX331:DX332"/>
    <mergeCell ref="DY331:DY332"/>
    <mergeCell ref="DZ331:DZ332"/>
    <mergeCell ref="EA331:EA332"/>
    <mergeCell ref="EI331:EI332"/>
    <mergeCell ref="EJ331:EJ332"/>
    <mergeCell ref="EK331:EK332"/>
    <mergeCell ref="EL331:EL332"/>
    <mergeCell ref="EY321:EY322"/>
    <mergeCell ref="AD321:AD322"/>
    <mergeCell ref="AE321:AE322"/>
    <mergeCell ref="AF321:AF322"/>
    <mergeCell ref="AN321:AN322"/>
    <mergeCell ref="AO321:AO322"/>
    <mergeCell ref="AP321:AP322"/>
    <mergeCell ref="AY321:AY322"/>
    <mergeCell ref="AZ321:AZ322"/>
    <mergeCell ref="BA321:BA322"/>
    <mergeCell ref="BB321:BB322"/>
    <mergeCell ref="BJ321:BJ322"/>
    <mergeCell ref="BK321:BK322"/>
    <mergeCell ref="BL321:BL322"/>
    <mergeCell ref="BM321:BM322"/>
    <mergeCell ref="BU321:BU322"/>
    <mergeCell ref="BV321:BV322"/>
    <mergeCell ref="BW321:BW322"/>
    <mergeCell ref="BX321:BX322"/>
    <mergeCell ref="CF321:CF322"/>
    <mergeCell ref="CG321:CG322"/>
    <mergeCell ref="CH321:CH322"/>
    <mergeCell ref="CI321:CI322"/>
    <mergeCell ref="CQ321:CQ322"/>
    <mergeCell ref="CR321:CR322"/>
    <mergeCell ref="CS321:CS322"/>
    <mergeCell ref="CT321:CT322"/>
    <mergeCell ref="DB321:DB322"/>
    <mergeCell ref="DC321:DC322"/>
    <mergeCell ref="DD321:DD322"/>
    <mergeCell ref="DE321:DE322"/>
    <mergeCell ref="DM321:DM322"/>
    <mergeCell ref="F317:F326"/>
    <mergeCell ref="V317:AF317"/>
    <mergeCell ref="AG317:EX317"/>
    <mergeCell ref="G318:G325"/>
    <mergeCell ref="V318:AF318"/>
    <mergeCell ref="AG318:EX318"/>
    <mergeCell ref="H319:H325"/>
    <mergeCell ref="I319:I324"/>
    <mergeCell ref="P319:P324"/>
    <mergeCell ref="V319:AF319"/>
    <mergeCell ref="AG319:EX319"/>
    <mergeCell ref="J320:J323"/>
    <mergeCell ref="Q320:Q323"/>
    <mergeCell ref="V320:AF320"/>
    <mergeCell ref="AG320:EX320"/>
    <mergeCell ref="K321:K322"/>
    <mergeCell ref="AC321:AC322"/>
    <mergeCell ref="AQ321:AQ322"/>
    <mergeCell ref="DN321:DN322"/>
    <mergeCell ref="DO321:DO322"/>
    <mergeCell ref="DP321:DP322"/>
    <mergeCell ref="DX321:DX322"/>
    <mergeCell ref="DY321:DY322"/>
    <mergeCell ref="DZ321:DZ322"/>
    <mergeCell ref="EA321:EA322"/>
    <mergeCell ref="EI321:EI322"/>
    <mergeCell ref="EJ321:EJ322"/>
    <mergeCell ref="EK321:EK322"/>
    <mergeCell ref="EL321:EL322"/>
    <mergeCell ref="EY311:EY312"/>
    <mergeCell ref="AD311:AD312"/>
    <mergeCell ref="AE311:AE312"/>
    <mergeCell ref="AF311:AF312"/>
    <mergeCell ref="AN311:AN312"/>
    <mergeCell ref="AO311:AO312"/>
    <mergeCell ref="AP311:AP312"/>
    <mergeCell ref="AY311:AY312"/>
    <mergeCell ref="AZ311:AZ312"/>
    <mergeCell ref="BA311:BA312"/>
    <mergeCell ref="BB311:BB312"/>
    <mergeCell ref="BJ311:BJ312"/>
    <mergeCell ref="BK311:BK312"/>
    <mergeCell ref="BL311:BL312"/>
    <mergeCell ref="BM311:BM312"/>
    <mergeCell ref="BU311:BU312"/>
    <mergeCell ref="BV311:BV312"/>
    <mergeCell ref="BW311:BW312"/>
    <mergeCell ref="BX311:BX312"/>
    <mergeCell ref="CF311:CF312"/>
    <mergeCell ref="CG311:CG312"/>
    <mergeCell ref="CH311:CH312"/>
    <mergeCell ref="CI311:CI312"/>
    <mergeCell ref="CQ311:CQ312"/>
    <mergeCell ref="CR311:CR312"/>
    <mergeCell ref="CS311:CS312"/>
    <mergeCell ref="CT311:CT312"/>
    <mergeCell ref="DB311:DB312"/>
    <mergeCell ref="DC311:DC312"/>
    <mergeCell ref="DD311:DD312"/>
    <mergeCell ref="DE311:DE312"/>
    <mergeCell ref="DM311:DM312"/>
    <mergeCell ref="F307:F316"/>
    <mergeCell ref="V307:AF307"/>
    <mergeCell ref="AG307:EX307"/>
    <mergeCell ref="G308:G315"/>
    <mergeCell ref="V308:AF308"/>
    <mergeCell ref="AG308:EX308"/>
    <mergeCell ref="H309:H315"/>
    <mergeCell ref="I309:I314"/>
    <mergeCell ref="P309:P314"/>
    <mergeCell ref="V309:AF309"/>
    <mergeCell ref="AG309:EX309"/>
    <mergeCell ref="J310:J313"/>
    <mergeCell ref="Q310:Q313"/>
    <mergeCell ref="V310:AF310"/>
    <mergeCell ref="AG310:EX310"/>
    <mergeCell ref="K311:K312"/>
    <mergeCell ref="AC311:AC312"/>
    <mergeCell ref="AQ311:AQ312"/>
    <mergeCell ref="DN311:DN312"/>
    <mergeCell ref="DO311:DO312"/>
    <mergeCell ref="DP311:DP312"/>
    <mergeCell ref="DX311:DX312"/>
    <mergeCell ref="DY311:DY312"/>
    <mergeCell ref="DZ311:DZ312"/>
    <mergeCell ref="EA311:EA312"/>
    <mergeCell ref="EI311:EI312"/>
    <mergeCell ref="EJ311:EJ312"/>
    <mergeCell ref="EK311:EK312"/>
    <mergeCell ref="EL311:EL312"/>
    <mergeCell ref="EY301:EY302"/>
    <mergeCell ref="AD301:AD302"/>
    <mergeCell ref="AE301:AE302"/>
    <mergeCell ref="AF301:AF302"/>
    <mergeCell ref="AN301:AN302"/>
    <mergeCell ref="AO301:AO302"/>
    <mergeCell ref="AP301:AP302"/>
    <mergeCell ref="AY301:AY302"/>
    <mergeCell ref="AZ301:AZ302"/>
    <mergeCell ref="BA301:BA302"/>
    <mergeCell ref="BB301:BB302"/>
    <mergeCell ref="BJ301:BJ302"/>
    <mergeCell ref="BK301:BK302"/>
    <mergeCell ref="BL301:BL302"/>
    <mergeCell ref="BM301:BM302"/>
    <mergeCell ref="BU301:BU302"/>
    <mergeCell ref="BV301:BV302"/>
    <mergeCell ref="BW301:BW302"/>
    <mergeCell ref="BX301:BX302"/>
    <mergeCell ref="CF301:CF302"/>
    <mergeCell ref="CG301:CG302"/>
    <mergeCell ref="CH301:CH302"/>
    <mergeCell ref="CI301:CI302"/>
    <mergeCell ref="CQ301:CQ302"/>
    <mergeCell ref="CR301:CR302"/>
    <mergeCell ref="CS301:CS302"/>
    <mergeCell ref="CT301:CT302"/>
    <mergeCell ref="DB301:DB302"/>
    <mergeCell ref="DC301:DC302"/>
    <mergeCell ref="DD301:DD302"/>
    <mergeCell ref="DE301:DE302"/>
    <mergeCell ref="DM301:DM302"/>
    <mergeCell ref="EJ291:EJ292"/>
    <mergeCell ref="EK291:EK292"/>
    <mergeCell ref="EL291:EL292"/>
    <mergeCell ref="F297:F306"/>
    <mergeCell ref="V297:AF297"/>
    <mergeCell ref="AG297:EX297"/>
    <mergeCell ref="G298:G305"/>
    <mergeCell ref="V298:AF298"/>
    <mergeCell ref="AG298:EX298"/>
    <mergeCell ref="H299:H305"/>
    <mergeCell ref="I299:I304"/>
    <mergeCell ref="P299:P304"/>
    <mergeCell ref="V299:AF299"/>
    <mergeCell ref="AG299:EX299"/>
    <mergeCell ref="J300:J303"/>
    <mergeCell ref="Q300:Q303"/>
    <mergeCell ref="V300:AF300"/>
    <mergeCell ref="AG300:EX300"/>
    <mergeCell ref="K301:K302"/>
    <mergeCell ref="AC301:AC302"/>
    <mergeCell ref="AQ301:AQ302"/>
    <mergeCell ref="DN301:DN302"/>
    <mergeCell ref="DO301:DO302"/>
    <mergeCell ref="DP301:DP302"/>
    <mergeCell ref="DX301:DX302"/>
    <mergeCell ref="DY301:DY302"/>
    <mergeCell ref="DZ301:DZ302"/>
    <mergeCell ref="EA301:EA302"/>
    <mergeCell ref="EI301:EI302"/>
    <mergeCell ref="EJ301:EJ302"/>
    <mergeCell ref="EK301:EK302"/>
    <mergeCell ref="EL301:EL302"/>
    <mergeCell ref="EY291:EY292"/>
    <mergeCell ref="AD291:AD292"/>
    <mergeCell ref="AE291:AE292"/>
    <mergeCell ref="AF291:AF292"/>
    <mergeCell ref="AN291:AN292"/>
    <mergeCell ref="AO291:AO292"/>
    <mergeCell ref="AP291:AP292"/>
    <mergeCell ref="AY291:AY292"/>
    <mergeCell ref="AZ291:AZ292"/>
    <mergeCell ref="BA291:BA292"/>
    <mergeCell ref="BB291:BB292"/>
    <mergeCell ref="BJ291:BJ292"/>
    <mergeCell ref="BK291:BK292"/>
    <mergeCell ref="BL291:BL292"/>
    <mergeCell ref="BM291:BM292"/>
    <mergeCell ref="BU291:BU292"/>
    <mergeCell ref="BV291:BV292"/>
    <mergeCell ref="BW291:BW292"/>
    <mergeCell ref="BX291:BX292"/>
    <mergeCell ref="CF291:CF292"/>
    <mergeCell ref="CG291:CG292"/>
    <mergeCell ref="CH291:CH292"/>
    <mergeCell ref="CI291:CI292"/>
    <mergeCell ref="CQ291:CQ292"/>
    <mergeCell ref="CR291:CR292"/>
    <mergeCell ref="CS291:CS292"/>
    <mergeCell ref="CT291:CT292"/>
    <mergeCell ref="DB291:DB292"/>
    <mergeCell ref="DC291:DC292"/>
    <mergeCell ref="DD291:DD292"/>
    <mergeCell ref="DE291:DE292"/>
    <mergeCell ref="DM291:DM292"/>
    <mergeCell ref="DZ281:DZ282"/>
    <mergeCell ref="EA281:EA282"/>
    <mergeCell ref="EI281:EI282"/>
    <mergeCell ref="EJ281:EJ282"/>
    <mergeCell ref="EK281:EK282"/>
    <mergeCell ref="EL281:EL282"/>
    <mergeCell ref="F287:F296"/>
    <mergeCell ref="V287:AF287"/>
    <mergeCell ref="AG287:EX287"/>
    <mergeCell ref="G288:G295"/>
    <mergeCell ref="V288:AF288"/>
    <mergeCell ref="AG288:EX288"/>
    <mergeCell ref="H289:H295"/>
    <mergeCell ref="I289:I294"/>
    <mergeCell ref="P289:P294"/>
    <mergeCell ref="V289:AF289"/>
    <mergeCell ref="AG289:EX289"/>
    <mergeCell ref="J290:J293"/>
    <mergeCell ref="Q290:Q293"/>
    <mergeCell ref="V290:AF290"/>
    <mergeCell ref="AG290:EX290"/>
    <mergeCell ref="K291:K292"/>
    <mergeCell ref="AC291:AC292"/>
    <mergeCell ref="AQ291:AQ292"/>
    <mergeCell ref="DN291:DN292"/>
    <mergeCell ref="DO291:DO292"/>
    <mergeCell ref="DP291:DP292"/>
    <mergeCell ref="DX291:DX292"/>
    <mergeCell ref="DY291:DY292"/>
    <mergeCell ref="DZ291:DZ292"/>
    <mergeCell ref="EA291:EA292"/>
    <mergeCell ref="EI291:EI292"/>
    <mergeCell ref="EY281:EY282"/>
    <mergeCell ref="AD281:AD282"/>
    <mergeCell ref="AE281:AE282"/>
    <mergeCell ref="AF281:AF282"/>
    <mergeCell ref="AN281:AN282"/>
    <mergeCell ref="AO281:AO282"/>
    <mergeCell ref="AP281:AP282"/>
    <mergeCell ref="AY281:AY282"/>
    <mergeCell ref="AZ281:AZ282"/>
    <mergeCell ref="BA281:BA282"/>
    <mergeCell ref="BB281:BB282"/>
    <mergeCell ref="BJ281:BJ282"/>
    <mergeCell ref="BK281:BK282"/>
    <mergeCell ref="BL281:BL282"/>
    <mergeCell ref="BM281:BM282"/>
    <mergeCell ref="BU281:BU282"/>
    <mergeCell ref="BV281:BV282"/>
    <mergeCell ref="BW281:BW282"/>
    <mergeCell ref="BX281:BX282"/>
    <mergeCell ref="CF281:CF282"/>
    <mergeCell ref="CG281:CG282"/>
    <mergeCell ref="CH281:CH282"/>
    <mergeCell ref="CI281:CI282"/>
    <mergeCell ref="CQ281:CQ282"/>
    <mergeCell ref="CR281:CR282"/>
    <mergeCell ref="CS281:CS282"/>
    <mergeCell ref="CT281:CT282"/>
    <mergeCell ref="DB281:DB282"/>
    <mergeCell ref="DC281:DC282"/>
    <mergeCell ref="DD281:DD282"/>
    <mergeCell ref="DE281:DE282"/>
    <mergeCell ref="DM281:DM282"/>
    <mergeCell ref="DP271:DP272"/>
    <mergeCell ref="DX271:DX272"/>
    <mergeCell ref="DY271:DY272"/>
    <mergeCell ref="DZ271:DZ272"/>
    <mergeCell ref="EA271:EA272"/>
    <mergeCell ref="EI271:EI272"/>
    <mergeCell ref="EJ271:EJ272"/>
    <mergeCell ref="EK271:EK272"/>
    <mergeCell ref="EL271:EL272"/>
    <mergeCell ref="F277:F286"/>
    <mergeCell ref="V277:AF277"/>
    <mergeCell ref="AG277:EX277"/>
    <mergeCell ref="G278:G285"/>
    <mergeCell ref="V278:AF278"/>
    <mergeCell ref="AG278:EX278"/>
    <mergeCell ref="H279:H285"/>
    <mergeCell ref="I279:I284"/>
    <mergeCell ref="P279:P284"/>
    <mergeCell ref="V279:AF279"/>
    <mergeCell ref="AG279:EX279"/>
    <mergeCell ref="J280:J283"/>
    <mergeCell ref="Q280:Q283"/>
    <mergeCell ref="V280:AF280"/>
    <mergeCell ref="AG280:EX280"/>
    <mergeCell ref="K281:K282"/>
    <mergeCell ref="AC281:AC282"/>
    <mergeCell ref="AQ281:AQ282"/>
    <mergeCell ref="DN281:DN282"/>
    <mergeCell ref="DO281:DO282"/>
    <mergeCell ref="DP281:DP282"/>
    <mergeCell ref="DX281:DX282"/>
    <mergeCell ref="DY281:DY282"/>
    <mergeCell ref="BW271:BW272"/>
    <mergeCell ref="BX271:BX272"/>
    <mergeCell ref="CF271:CF272"/>
    <mergeCell ref="CG271:CG272"/>
    <mergeCell ref="CH271:CH272"/>
    <mergeCell ref="CI271:CI272"/>
    <mergeCell ref="CQ271:CQ272"/>
    <mergeCell ref="CR271:CR272"/>
    <mergeCell ref="CS271:CS272"/>
    <mergeCell ref="CT271:CT272"/>
    <mergeCell ref="DB271:DB272"/>
    <mergeCell ref="DC271:DC272"/>
    <mergeCell ref="DD271:DD272"/>
    <mergeCell ref="DE271:DE272"/>
    <mergeCell ref="DM271:DM272"/>
    <mergeCell ref="DN271:DN272"/>
    <mergeCell ref="DO271:DO272"/>
    <mergeCell ref="G268:G275"/>
    <mergeCell ref="V268:AF268"/>
    <mergeCell ref="AG268:EX268"/>
    <mergeCell ref="H269:H275"/>
    <mergeCell ref="I269:I274"/>
    <mergeCell ref="P269:P274"/>
    <mergeCell ref="V269:AF269"/>
    <mergeCell ref="AG269:EX269"/>
    <mergeCell ref="J270:J273"/>
    <mergeCell ref="Q270:Q273"/>
    <mergeCell ref="V270:AF270"/>
    <mergeCell ref="AG270:EX270"/>
    <mergeCell ref="K271:K272"/>
    <mergeCell ref="AC271:AC272"/>
    <mergeCell ref="AQ271:AQ272"/>
    <mergeCell ref="EY271:EY272"/>
    <mergeCell ref="AD271:AD272"/>
    <mergeCell ref="AE271:AE272"/>
    <mergeCell ref="AF271:AF272"/>
    <mergeCell ref="AN271:AN272"/>
    <mergeCell ref="AO271:AO272"/>
    <mergeCell ref="AP271:AP272"/>
    <mergeCell ref="AY271:AY272"/>
    <mergeCell ref="AZ271:AZ272"/>
    <mergeCell ref="BA271:BA272"/>
    <mergeCell ref="BB271:BB272"/>
    <mergeCell ref="BJ271:BJ272"/>
    <mergeCell ref="BK271:BK272"/>
    <mergeCell ref="BL271:BL272"/>
    <mergeCell ref="BM271:BM272"/>
    <mergeCell ref="BU271:BU272"/>
    <mergeCell ref="BV271:BV272"/>
    <mergeCell ref="EY263:EY264"/>
    <mergeCell ref="AD263:AD264"/>
    <mergeCell ref="AE263:AE264"/>
    <mergeCell ref="AF263:AF264"/>
    <mergeCell ref="AN263:AN264"/>
    <mergeCell ref="AO263:AO264"/>
    <mergeCell ref="AP263:AP264"/>
    <mergeCell ref="AY263:AY264"/>
    <mergeCell ref="AZ263:AZ264"/>
    <mergeCell ref="BA263:BA264"/>
    <mergeCell ref="BB263:BB264"/>
    <mergeCell ref="BJ263:BJ264"/>
    <mergeCell ref="BK263:BK264"/>
    <mergeCell ref="BL263:BL264"/>
    <mergeCell ref="BM263:BM264"/>
    <mergeCell ref="BU263:BU264"/>
    <mergeCell ref="BV263:BV264"/>
    <mergeCell ref="BW263:BW264"/>
    <mergeCell ref="BX263:BX264"/>
    <mergeCell ref="CF263:CF264"/>
    <mergeCell ref="CG263:CG264"/>
    <mergeCell ref="CH263:CH264"/>
    <mergeCell ref="CI263:CI264"/>
    <mergeCell ref="CQ263:CQ264"/>
    <mergeCell ref="CR263:CR264"/>
    <mergeCell ref="CS263:CS264"/>
    <mergeCell ref="CT263:CT264"/>
    <mergeCell ref="DB263:DB264"/>
    <mergeCell ref="DC263:DC264"/>
    <mergeCell ref="DD263:DD264"/>
    <mergeCell ref="DE263:DE264"/>
    <mergeCell ref="DM263:DM264"/>
    <mergeCell ref="E258:E357"/>
    <mergeCell ref="V258:AF258"/>
    <mergeCell ref="AG258:EX258"/>
    <mergeCell ref="F259:F276"/>
    <mergeCell ref="V259:AF259"/>
    <mergeCell ref="AG259:EX259"/>
    <mergeCell ref="G260:G267"/>
    <mergeCell ref="V260:AF260"/>
    <mergeCell ref="AG260:EX260"/>
    <mergeCell ref="H261:H267"/>
    <mergeCell ref="I261:I266"/>
    <mergeCell ref="P261:P266"/>
    <mergeCell ref="V261:AF261"/>
    <mergeCell ref="AG261:EX261"/>
    <mergeCell ref="J262:J265"/>
    <mergeCell ref="Q262:Q265"/>
    <mergeCell ref="V262:AF262"/>
    <mergeCell ref="AG262:EX262"/>
    <mergeCell ref="K263:K264"/>
    <mergeCell ref="AC263:AC264"/>
    <mergeCell ref="AQ263:AQ264"/>
    <mergeCell ref="DN263:DN264"/>
    <mergeCell ref="DO263:DO264"/>
    <mergeCell ref="DP263:DP264"/>
    <mergeCell ref="DX263:DX264"/>
    <mergeCell ref="DY263:DY264"/>
    <mergeCell ref="DZ263:DZ264"/>
    <mergeCell ref="EA263:EA264"/>
    <mergeCell ref="EI263:EI264"/>
    <mergeCell ref="EJ263:EJ264"/>
    <mergeCell ref="EK263:EK264"/>
    <mergeCell ref="EL263:EL264"/>
    <mergeCell ref="EY251:EY252"/>
    <mergeCell ref="AD251:AD252"/>
    <mergeCell ref="AE251:AE252"/>
    <mergeCell ref="AF251:AF252"/>
    <mergeCell ref="AN251:AN252"/>
    <mergeCell ref="AO251:AO252"/>
    <mergeCell ref="AP251:AP252"/>
    <mergeCell ref="AY251:AY252"/>
    <mergeCell ref="AZ251:AZ252"/>
    <mergeCell ref="BA251:BA252"/>
    <mergeCell ref="BB251:BB252"/>
    <mergeCell ref="BJ251:BJ252"/>
    <mergeCell ref="BK251:BK252"/>
    <mergeCell ref="BL251:BL252"/>
    <mergeCell ref="BM251:BM252"/>
    <mergeCell ref="BU251:BU252"/>
    <mergeCell ref="BV251:BV252"/>
    <mergeCell ref="BW251:BW252"/>
    <mergeCell ref="BX251:BX252"/>
    <mergeCell ref="CF251:CF252"/>
    <mergeCell ref="CG251:CG252"/>
    <mergeCell ref="CH251:CH252"/>
    <mergeCell ref="CI251:CI252"/>
    <mergeCell ref="CQ251:CQ252"/>
    <mergeCell ref="CR251:CR252"/>
    <mergeCell ref="CS251:CS252"/>
    <mergeCell ref="CT251:CT252"/>
    <mergeCell ref="DB251:DB252"/>
    <mergeCell ref="DC251:DC252"/>
    <mergeCell ref="DD251:DD252"/>
    <mergeCell ref="DE251:DE252"/>
    <mergeCell ref="DM251:DM252"/>
    <mergeCell ref="F247:F256"/>
    <mergeCell ref="V247:AF247"/>
    <mergeCell ref="AG247:EX247"/>
    <mergeCell ref="G248:G255"/>
    <mergeCell ref="V248:AF248"/>
    <mergeCell ref="AG248:EX248"/>
    <mergeCell ref="H249:H255"/>
    <mergeCell ref="I249:I254"/>
    <mergeCell ref="P249:P254"/>
    <mergeCell ref="V249:AF249"/>
    <mergeCell ref="AG249:EX249"/>
    <mergeCell ref="J250:J253"/>
    <mergeCell ref="Q250:Q253"/>
    <mergeCell ref="V250:AF250"/>
    <mergeCell ref="AG250:EX250"/>
    <mergeCell ref="K251:K252"/>
    <mergeCell ref="AC251:AC252"/>
    <mergeCell ref="AQ251:AQ252"/>
    <mergeCell ref="DN251:DN252"/>
    <mergeCell ref="DO251:DO252"/>
    <mergeCell ref="DP251:DP252"/>
    <mergeCell ref="DX251:DX252"/>
    <mergeCell ref="DY251:DY252"/>
    <mergeCell ref="DZ251:DZ252"/>
    <mergeCell ref="EA251:EA252"/>
    <mergeCell ref="EI251:EI252"/>
    <mergeCell ref="EJ251:EJ252"/>
    <mergeCell ref="EK251:EK252"/>
    <mergeCell ref="EL251:EL252"/>
    <mergeCell ref="ET251:ET252"/>
    <mergeCell ref="EU251:EU252"/>
    <mergeCell ref="EV251:EV252"/>
    <mergeCell ref="EY241:EY242"/>
    <mergeCell ref="AD241:AD242"/>
    <mergeCell ref="AE241:AE242"/>
    <mergeCell ref="AF241:AF242"/>
    <mergeCell ref="AN241:AN242"/>
    <mergeCell ref="AO241:AO242"/>
    <mergeCell ref="AP241:AP242"/>
    <mergeCell ref="AY241:AY242"/>
    <mergeCell ref="AZ241:AZ242"/>
    <mergeCell ref="BA241:BA242"/>
    <mergeCell ref="BB241:BB242"/>
    <mergeCell ref="BJ241:BJ242"/>
    <mergeCell ref="BK241:BK242"/>
    <mergeCell ref="BL241:BL242"/>
    <mergeCell ref="BM241:BM242"/>
    <mergeCell ref="BU241:BU242"/>
    <mergeCell ref="BV241:BV242"/>
    <mergeCell ref="BW241:BW242"/>
    <mergeCell ref="BX241:BX242"/>
    <mergeCell ref="CF241:CF242"/>
    <mergeCell ref="CG241:CG242"/>
    <mergeCell ref="CH241:CH242"/>
    <mergeCell ref="CI241:CI242"/>
    <mergeCell ref="CQ241:CQ242"/>
    <mergeCell ref="CR241:CR242"/>
    <mergeCell ref="CS241:CS242"/>
    <mergeCell ref="CT241:CT242"/>
    <mergeCell ref="DB241:DB242"/>
    <mergeCell ref="DC241:DC242"/>
    <mergeCell ref="DD241:DD242"/>
    <mergeCell ref="DE241:DE242"/>
    <mergeCell ref="DM241:DM242"/>
    <mergeCell ref="F237:F246"/>
    <mergeCell ref="V237:AF237"/>
    <mergeCell ref="AG237:EX237"/>
    <mergeCell ref="G238:G245"/>
    <mergeCell ref="V238:AF238"/>
    <mergeCell ref="AG238:EX238"/>
    <mergeCell ref="H239:H245"/>
    <mergeCell ref="I239:I244"/>
    <mergeCell ref="P239:P244"/>
    <mergeCell ref="V239:AF239"/>
    <mergeCell ref="AG239:EX239"/>
    <mergeCell ref="J240:J243"/>
    <mergeCell ref="Q240:Q243"/>
    <mergeCell ref="V240:AF240"/>
    <mergeCell ref="AG240:EX240"/>
    <mergeCell ref="K241:K242"/>
    <mergeCell ref="AC241:AC242"/>
    <mergeCell ref="AQ241:AQ242"/>
    <mergeCell ref="DN241:DN242"/>
    <mergeCell ref="DO241:DO242"/>
    <mergeCell ref="DP241:DP242"/>
    <mergeCell ref="DX241:DX242"/>
    <mergeCell ref="DY241:DY242"/>
    <mergeCell ref="DZ241:DZ242"/>
    <mergeCell ref="EA241:EA242"/>
    <mergeCell ref="EI241:EI242"/>
    <mergeCell ref="EJ241:EJ242"/>
    <mergeCell ref="EK241:EK242"/>
    <mergeCell ref="EL241:EL242"/>
    <mergeCell ref="EY231:EY232"/>
    <mergeCell ref="AD231:AD232"/>
    <mergeCell ref="AE231:AE232"/>
    <mergeCell ref="AF231:AF232"/>
    <mergeCell ref="AN231:AN232"/>
    <mergeCell ref="AO231:AO232"/>
    <mergeCell ref="AP231:AP232"/>
    <mergeCell ref="AY231:AY232"/>
    <mergeCell ref="AZ231:AZ232"/>
    <mergeCell ref="BA231:BA232"/>
    <mergeCell ref="BB231:BB232"/>
    <mergeCell ref="BJ231:BJ232"/>
    <mergeCell ref="BK231:BK232"/>
    <mergeCell ref="BL231:BL232"/>
    <mergeCell ref="BM231:BM232"/>
    <mergeCell ref="BU231:BU232"/>
    <mergeCell ref="BV231:BV232"/>
    <mergeCell ref="BW231:BW232"/>
    <mergeCell ref="BX231:BX232"/>
    <mergeCell ref="CF231:CF232"/>
    <mergeCell ref="CG231:CG232"/>
    <mergeCell ref="CH231:CH232"/>
    <mergeCell ref="CI231:CI232"/>
    <mergeCell ref="CQ231:CQ232"/>
    <mergeCell ref="CR231:CR232"/>
    <mergeCell ref="CS231:CS232"/>
    <mergeCell ref="CT231:CT232"/>
    <mergeCell ref="DB231:DB232"/>
    <mergeCell ref="DC231:DC232"/>
    <mergeCell ref="DD231:DD232"/>
    <mergeCell ref="DE231:DE232"/>
    <mergeCell ref="DM231:DM232"/>
    <mergeCell ref="F227:F236"/>
    <mergeCell ref="V227:AF227"/>
    <mergeCell ref="AG227:EX227"/>
    <mergeCell ref="G228:G235"/>
    <mergeCell ref="V228:AF228"/>
    <mergeCell ref="AG228:EX228"/>
    <mergeCell ref="H229:H235"/>
    <mergeCell ref="I229:I234"/>
    <mergeCell ref="P229:P234"/>
    <mergeCell ref="V229:AF229"/>
    <mergeCell ref="AG229:EX229"/>
    <mergeCell ref="J230:J233"/>
    <mergeCell ref="Q230:Q233"/>
    <mergeCell ref="V230:AF230"/>
    <mergeCell ref="AG230:EX230"/>
    <mergeCell ref="K231:K232"/>
    <mergeCell ref="AC231:AC232"/>
    <mergeCell ref="AQ231:AQ232"/>
    <mergeCell ref="DN231:DN232"/>
    <mergeCell ref="DO231:DO232"/>
    <mergeCell ref="DP231:DP232"/>
    <mergeCell ref="DX231:DX232"/>
    <mergeCell ref="DY231:DY232"/>
    <mergeCell ref="DZ231:DZ232"/>
    <mergeCell ref="EA231:EA232"/>
    <mergeCell ref="EI231:EI232"/>
    <mergeCell ref="EJ231:EJ232"/>
    <mergeCell ref="EK231:EK232"/>
    <mergeCell ref="EL231:EL232"/>
    <mergeCell ref="EY221:EY222"/>
    <mergeCell ref="AD221:AD222"/>
    <mergeCell ref="AE221:AE222"/>
    <mergeCell ref="AF221:AF222"/>
    <mergeCell ref="AN221:AN222"/>
    <mergeCell ref="AO221:AO222"/>
    <mergeCell ref="AP221:AP222"/>
    <mergeCell ref="AY221:AY222"/>
    <mergeCell ref="AZ221:AZ222"/>
    <mergeCell ref="BA221:BA222"/>
    <mergeCell ref="BB221:BB222"/>
    <mergeCell ref="BJ221:BJ222"/>
    <mergeCell ref="BK221:BK222"/>
    <mergeCell ref="BL221:BL222"/>
    <mergeCell ref="BM221:BM222"/>
    <mergeCell ref="BU221:BU222"/>
    <mergeCell ref="BV221:BV222"/>
    <mergeCell ref="BW221:BW222"/>
    <mergeCell ref="BX221:BX222"/>
    <mergeCell ref="CF221:CF222"/>
    <mergeCell ref="CG221:CG222"/>
    <mergeCell ref="CH221:CH222"/>
    <mergeCell ref="CI221:CI222"/>
    <mergeCell ref="CQ221:CQ222"/>
    <mergeCell ref="CR221:CR222"/>
    <mergeCell ref="CS221:CS222"/>
    <mergeCell ref="CT221:CT222"/>
    <mergeCell ref="DB221:DB222"/>
    <mergeCell ref="DC221:DC222"/>
    <mergeCell ref="DD221:DD222"/>
    <mergeCell ref="DE221:DE222"/>
    <mergeCell ref="DM221:DM222"/>
    <mergeCell ref="F217:F226"/>
    <mergeCell ref="V217:AF217"/>
    <mergeCell ref="AG217:EX217"/>
    <mergeCell ref="G218:G225"/>
    <mergeCell ref="V218:AF218"/>
    <mergeCell ref="AG218:EX218"/>
    <mergeCell ref="H219:H225"/>
    <mergeCell ref="I219:I224"/>
    <mergeCell ref="P219:P224"/>
    <mergeCell ref="V219:AF219"/>
    <mergeCell ref="AG219:EX219"/>
    <mergeCell ref="J220:J223"/>
    <mergeCell ref="Q220:Q223"/>
    <mergeCell ref="V220:AF220"/>
    <mergeCell ref="AG220:EX220"/>
    <mergeCell ref="K221:K222"/>
    <mergeCell ref="AC221:AC222"/>
    <mergeCell ref="AQ221:AQ222"/>
    <mergeCell ref="DN221:DN222"/>
    <mergeCell ref="DO221:DO222"/>
    <mergeCell ref="DP221:DP222"/>
    <mergeCell ref="DX221:DX222"/>
    <mergeCell ref="DY221:DY222"/>
    <mergeCell ref="DZ221:DZ222"/>
    <mergeCell ref="EA221:EA222"/>
    <mergeCell ref="EI221:EI222"/>
    <mergeCell ref="EJ221:EJ222"/>
    <mergeCell ref="EK221:EK222"/>
    <mergeCell ref="EL221:EL222"/>
    <mergeCell ref="EY211:EY212"/>
    <mergeCell ref="AD211:AD212"/>
    <mergeCell ref="AE211:AE212"/>
    <mergeCell ref="AF211:AF212"/>
    <mergeCell ref="AN211:AN212"/>
    <mergeCell ref="AO211:AO212"/>
    <mergeCell ref="AP211:AP212"/>
    <mergeCell ref="AY211:AY212"/>
    <mergeCell ref="AZ211:AZ212"/>
    <mergeCell ref="BA211:BA212"/>
    <mergeCell ref="BB211:BB212"/>
    <mergeCell ref="BJ211:BJ212"/>
    <mergeCell ref="BK211:BK212"/>
    <mergeCell ref="BL211:BL212"/>
    <mergeCell ref="BM211:BM212"/>
    <mergeCell ref="BU211:BU212"/>
    <mergeCell ref="BV211:BV212"/>
    <mergeCell ref="BW211:BW212"/>
    <mergeCell ref="BX211:BX212"/>
    <mergeCell ref="CF211:CF212"/>
    <mergeCell ref="CG211:CG212"/>
    <mergeCell ref="CH211:CH212"/>
    <mergeCell ref="CI211:CI212"/>
    <mergeCell ref="CQ211:CQ212"/>
    <mergeCell ref="CR211:CR212"/>
    <mergeCell ref="CS211:CS212"/>
    <mergeCell ref="CT211:CT212"/>
    <mergeCell ref="DB211:DB212"/>
    <mergeCell ref="DC211:DC212"/>
    <mergeCell ref="DD211:DD212"/>
    <mergeCell ref="DE211:DE212"/>
    <mergeCell ref="DM211:DM212"/>
    <mergeCell ref="F207:F216"/>
    <mergeCell ref="V207:AF207"/>
    <mergeCell ref="AG207:EX207"/>
    <mergeCell ref="G208:G215"/>
    <mergeCell ref="V208:AF208"/>
    <mergeCell ref="AG208:EX208"/>
    <mergeCell ref="H209:H215"/>
    <mergeCell ref="I209:I214"/>
    <mergeCell ref="P209:P214"/>
    <mergeCell ref="V209:AF209"/>
    <mergeCell ref="AG209:EX209"/>
    <mergeCell ref="J210:J213"/>
    <mergeCell ref="Q210:Q213"/>
    <mergeCell ref="V210:AF210"/>
    <mergeCell ref="AG210:EX210"/>
    <mergeCell ref="K211:K212"/>
    <mergeCell ref="AC211:AC212"/>
    <mergeCell ref="AQ211:AQ212"/>
    <mergeCell ref="DN211:DN212"/>
    <mergeCell ref="DO211:DO212"/>
    <mergeCell ref="DP211:DP212"/>
    <mergeCell ref="DX211:DX212"/>
    <mergeCell ref="DY211:DY212"/>
    <mergeCell ref="DZ211:DZ212"/>
    <mergeCell ref="EA211:EA212"/>
    <mergeCell ref="EI211:EI212"/>
    <mergeCell ref="EJ211:EJ212"/>
    <mergeCell ref="EK211:EK212"/>
    <mergeCell ref="EL211:EL212"/>
    <mergeCell ref="EY201:EY202"/>
    <mergeCell ref="AD201:AD202"/>
    <mergeCell ref="AE201:AE202"/>
    <mergeCell ref="AF201:AF202"/>
    <mergeCell ref="AN201:AN202"/>
    <mergeCell ref="AO201:AO202"/>
    <mergeCell ref="AP201:AP202"/>
    <mergeCell ref="AY201:AY202"/>
    <mergeCell ref="AZ201:AZ202"/>
    <mergeCell ref="BA201:BA202"/>
    <mergeCell ref="BB201:BB202"/>
    <mergeCell ref="BJ201:BJ202"/>
    <mergeCell ref="BK201:BK202"/>
    <mergeCell ref="BL201:BL202"/>
    <mergeCell ref="BM201:BM202"/>
    <mergeCell ref="BU201:BU202"/>
    <mergeCell ref="BV201:BV202"/>
    <mergeCell ref="BW201:BW202"/>
    <mergeCell ref="BX201:BX202"/>
    <mergeCell ref="CF201:CF202"/>
    <mergeCell ref="CG201:CG202"/>
    <mergeCell ref="CH201:CH202"/>
    <mergeCell ref="CI201:CI202"/>
    <mergeCell ref="CQ201:CQ202"/>
    <mergeCell ref="CR201:CR202"/>
    <mergeCell ref="CS201:CS202"/>
    <mergeCell ref="CT201:CT202"/>
    <mergeCell ref="DB201:DB202"/>
    <mergeCell ref="DC201:DC202"/>
    <mergeCell ref="DD201:DD202"/>
    <mergeCell ref="DE201:DE202"/>
    <mergeCell ref="DM201:DM202"/>
    <mergeCell ref="EJ191:EJ192"/>
    <mergeCell ref="EK191:EK192"/>
    <mergeCell ref="EL191:EL192"/>
    <mergeCell ref="F197:F206"/>
    <mergeCell ref="V197:AF197"/>
    <mergeCell ref="AG197:EX197"/>
    <mergeCell ref="G198:G205"/>
    <mergeCell ref="V198:AF198"/>
    <mergeCell ref="AG198:EX198"/>
    <mergeCell ref="H199:H205"/>
    <mergeCell ref="I199:I204"/>
    <mergeCell ref="P199:P204"/>
    <mergeCell ref="V199:AF199"/>
    <mergeCell ref="AG199:EX199"/>
    <mergeCell ref="J200:J203"/>
    <mergeCell ref="Q200:Q203"/>
    <mergeCell ref="V200:AF200"/>
    <mergeCell ref="AG200:EX200"/>
    <mergeCell ref="K201:K202"/>
    <mergeCell ref="AC201:AC202"/>
    <mergeCell ref="AQ201:AQ202"/>
    <mergeCell ref="DN201:DN202"/>
    <mergeCell ref="DO201:DO202"/>
    <mergeCell ref="DP201:DP202"/>
    <mergeCell ref="DX201:DX202"/>
    <mergeCell ref="DY201:DY202"/>
    <mergeCell ref="DZ201:DZ202"/>
    <mergeCell ref="EA201:EA202"/>
    <mergeCell ref="EI201:EI202"/>
    <mergeCell ref="EJ201:EJ202"/>
    <mergeCell ref="EK201:EK202"/>
    <mergeCell ref="EL201:EL202"/>
    <mergeCell ref="EY191:EY192"/>
    <mergeCell ref="AD191:AD192"/>
    <mergeCell ref="AE191:AE192"/>
    <mergeCell ref="AF191:AF192"/>
    <mergeCell ref="AN191:AN192"/>
    <mergeCell ref="AO191:AO192"/>
    <mergeCell ref="AP191:AP192"/>
    <mergeCell ref="AY191:AY192"/>
    <mergeCell ref="AZ191:AZ192"/>
    <mergeCell ref="BA191:BA192"/>
    <mergeCell ref="BB191:BB192"/>
    <mergeCell ref="BJ191:BJ192"/>
    <mergeCell ref="BK191:BK192"/>
    <mergeCell ref="BL191:BL192"/>
    <mergeCell ref="BM191:BM192"/>
    <mergeCell ref="BU191:BU192"/>
    <mergeCell ref="BV191:BV192"/>
    <mergeCell ref="BW191:BW192"/>
    <mergeCell ref="BX191:BX192"/>
    <mergeCell ref="CF191:CF192"/>
    <mergeCell ref="CG191:CG192"/>
    <mergeCell ref="CH191:CH192"/>
    <mergeCell ref="CI191:CI192"/>
    <mergeCell ref="CQ191:CQ192"/>
    <mergeCell ref="CR191:CR192"/>
    <mergeCell ref="CS191:CS192"/>
    <mergeCell ref="CT191:CT192"/>
    <mergeCell ref="DB191:DB192"/>
    <mergeCell ref="DC191:DC192"/>
    <mergeCell ref="DD191:DD192"/>
    <mergeCell ref="DE191:DE192"/>
    <mergeCell ref="DM191:DM192"/>
    <mergeCell ref="DZ181:DZ182"/>
    <mergeCell ref="EA181:EA182"/>
    <mergeCell ref="EI181:EI182"/>
    <mergeCell ref="EJ181:EJ182"/>
    <mergeCell ref="EK181:EK182"/>
    <mergeCell ref="EL181:EL182"/>
    <mergeCell ref="F187:F196"/>
    <mergeCell ref="V187:AF187"/>
    <mergeCell ref="AG187:EX187"/>
    <mergeCell ref="G188:G195"/>
    <mergeCell ref="V188:AF188"/>
    <mergeCell ref="AG188:EX188"/>
    <mergeCell ref="H189:H195"/>
    <mergeCell ref="I189:I194"/>
    <mergeCell ref="P189:P194"/>
    <mergeCell ref="V189:AF189"/>
    <mergeCell ref="AG189:EX189"/>
    <mergeCell ref="J190:J193"/>
    <mergeCell ref="Q190:Q193"/>
    <mergeCell ref="V190:AF190"/>
    <mergeCell ref="AG190:EX190"/>
    <mergeCell ref="K191:K192"/>
    <mergeCell ref="AC191:AC192"/>
    <mergeCell ref="AQ191:AQ192"/>
    <mergeCell ref="DN191:DN192"/>
    <mergeCell ref="DO191:DO192"/>
    <mergeCell ref="DP191:DP192"/>
    <mergeCell ref="DX191:DX192"/>
    <mergeCell ref="DY191:DY192"/>
    <mergeCell ref="DZ191:DZ192"/>
    <mergeCell ref="EA191:EA192"/>
    <mergeCell ref="EI191:EI192"/>
    <mergeCell ref="EY181:EY182"/>
    <mergeCell ref="AD181:AD182"/>
    <mergeCell ref="AE181:AE182"/>
    <mergeCell ref="AF181:AF182"/>
    <mergeCell ref="AN181:AN182"/>
    <mergeCell ref="AO181:AO182"/>
    <mergeCell ref="AP181:AP182"/>
    <mergeCell ref="AY181:AY182"/>
    <mergeCell ref="AZ181:AZ182"/>
    <mergeCell ref="BA181:BA182"/>
    <mergeCell ref="BB181:BB182"/>
    <mergeCell ref="BJ181:BJ182"/>
    <mergeCell ref="BK181:BK182"/>
    <mergeCell ref="BL181:BL182"/>
    <mergeCell ref="BM181:BM182"/>
    <mergeCell ref="BU181:BU182"/>
    <mergeCell ref="BV181:BV182"/>
    <mergeCell ref="BW181:BW182"/>
    <mergeCell ref="BX181:BX182"/>
    <mergeCell ref="CF181:CF182"/>
    <mergeCell ref="CG181:CG182"/>
    <mergeCell ref="CH181:CH182"/>
    <mergeCell ref="CI181:CI182"/>
    <mergeCell ref="CQ181:CQ182"/>
    <mergeCell ref="CR181:CR182"/>
    <mergeCell ref="CS181:CS182"/>
    <mergeCell ref="CT181:CT182"/>
    <mergeCell ref="DB181:DB182"/>
    <mergeCell ref="DC181:DC182"/>
    <mergeCell ref="DD181:DD182"/>
    <mergeCell ref="DE181:DE182"/>
    <mergeCell ref="DM181:DM182"/>
    <mergeCell ref="DP171:DP172"/>
    <mergeCell ref="DX171:DX172"/>
    <mergeCell ref="DY171:DY172"/>
    <mergeCell ref="DZ171:DZ172"/>
    <mergeCell ref="EA171:EA172"/>
    <mergeCell ref="EI171:EI172"/>
    <mergeCell ref="EJ171:EJ172"/>
    <mergeCell ref="EK171:EK172"/>
    <mergeCell ref="EL171:EL172"/>
    <mergeCell ref="F177:F186"/>
    <mergeCell ref="V177:AF177"/>
    <mergeCell ref="AG177:EX177"/>
    <mergeCell ref="G178:G185"/>
    <mergeCell ref="V178:AF178"/>
    <mergeCell ref="AG178:EX178"/>
    <mergeCell ref="H179:H185"/>
    <mergeCell ref="I179:I184"/>
    <mergeCell ref="P179:P184"/>
    <mergeCell ref="V179:AF179"/>
    <mergeCell ref="AG179:EX179"/>
    <mergeCell ref="J180:J183"/>
    <mergeCell ref="Q180:Q183"/>
    <mergeCell ref="V180:AF180"/>
    <mergeCell ref="AG180:EX180"/>
    <mergeCell ref="K181:K182"/>
    <mergeCell ref="AC181:AC182"/>
    <mergeCell ref="AQ181:AQ182"/>
    <mergeCell ref="DN181:DN182"/>
    <mergeCell ref="DO181:DO182"/>
    <mergeCell ref="DP181:DP182"/>
    <mergeCell ref="DX181:DX182"/>
    <mergeCell ref="DY181:DY182"/>
    <mergeCell ref="BW171:BW172"/>
    <mergeCell ref="BX171:BX172"/>
    <mergeCell ref="CF171:CF172"/>
    <mergeCell ref="CG171:CG172"/>
    <mergeCell ref="CH171:CH172"/>
    <mergeCell ref="CI171:CI172"/>
    <mergeCell ref="CQ171:CQ172"/>
    <mergeCell ref="CR171:CR172"/>
    <mergeCell ref="CS171:CS172"/>
    <mergeCell ref="CT171:CT172"/>
    <mergeCell ref="DB171:DB172"/>
    <mergeCell ref="DC171:DC172"/>
    <mergeCell ref="DD171:DD172"/>
    <mergeCell ref="DE171:DE172"/>
    <mergeCell ref="DM171:DM172"/>
    <mergeCell ref="DN171:DN172"/>
    <mergeCell ref="DO171:DO172"/>
    <mergeCell ref="G168:G175"/>
    <mergeCell ref="V168:AF168"/>
    <mergeCell ref="AG168:EX168"/>
    <mergeCell ref="H169:H175"/>
    <mergeCell ref="I169:I174"/>
    <mergeCell ref="P169:P174"/>
    <mergeCell ref="V169:AF169"/>
    <mergeCell ref="AG169:EX169"/>
    <mergeCell ref="J170:J173"/>
    <mergeCell ref="Q170:Q173"/>
    <mergeCell ref="V170:AF170"/>
    <mergeCell ref="AG170:EX170"/>
    <mergeCell ref="K171:K172"/>
    <mergeCell ref="AC171:AC172"/>
    <mergeCell ref="AQ171:AQ172"/>
    <mergeCell ref="EY171:EY172"/>
    <mergeCell ref="AD171:AD172"/>
    <mergeCell ref="AE171:AE172"/>
    <mergeCell ref="AF171:AF172"/>
    <mergeCell ref="AN171:AN172"/>
    <mergeCell ref="AO171:AO172"/>
    <mergeCell ref="AP171:AP172"/>
    <mergeCell ref="AY171:AY172"/>
    <mergeCell ref="AZ171:AZ172"/>
    <mergeCell ref="BA171:BA172"/>
    <mergeCell ref="BB171:BB172"/>
    <mergeCell ref="BJ171:BJ172"/>
    <mergeCell ref="BK171:BK172"/>
    <mergeCell ref="BL171:BL172"/>
    <mergeCell ref="BM171:BM172"/>
    <mergeCell ref="BU171:BU172"/>
    <mergeCell ref="BV171:BV172"/>
    <mergeCell ref="EY163:EY164"/>
    <mergeCell ref="AD163:AD164"/>
    <mergeCell ref="AE163:AE164"/>
    <mergeCell ref="AF163:AF164"/>
    <mergeCell ref="AN163:AN164"/>
    <mergeCell ref="AO163:AO164"/>
    <mergeCell ref="AP163:AP164"/>
    <mergeCell ref="AY163:AY164"/>
    <mergeCell ref="AZ163:AZ164"/>
    <mergeCell ref="BA163:BA164"/>
    <mergeCell ref="BB163:BB164"/>
    <mergeCell ref="BJ163:BJ164"/>
    <mergeCell ref="BK163:BK164"/>
    <mergeCell ref="BL163:BL164"/>
    <mergeCell ref="BM163:BM164"/>
    <mergeCell ref="BU163:BU164"/>
    <mergeCell ref="BV163:BV164"/>
    <mergeCell ref="BW163:BW164"/>
    <mergeCell ref="BX163:BX164"/>
    <mergeCell ref="CF163:CF164"/>
    <mergeCell ref="CG163:CG164"/>
    <mergeCell ref="CH163:CH164"/>
    <mergeCell ref="CI163:CI164"/>
    <mergeCell ref="CQ163:CQ164"/>
    <mergeCell ref="CR163:CR164"/>
    <mergeCell ref="CS163:CS164"/>
    <mergeCell ref="CT163:CT164"/>
    <mergeCell ref="DB163:DB164"/>
    <mergeCell ref="DC163:DC164"/>
    <mergeCell ref="DD163:DD164"/>
    <mergeCell ref="DE163:DE164"/>
    <mergeCell ref="DM163:DM164"/>
    <mergeCell ref="E158:E257"/>
    <mergeCell ref="V158:AF158"/>
    <mergeCell ref="AG158:EX158"/>
    <mergeCell ref="F159:F176"/>
    <mergeCell ref="V159:AF159"/>
    <mergeCell ref="AG159:EX159"/>
    <mergeCell ref="G160:G167"/>
    <mergeCell ref="V160:AF160"/>
    <mergeCell ref="AG160:EX160"/>
    <mergeCell ref="H161:H167"/>
    <mergeCell ref="I161:I166"/>
    <mergeCell ref="P161:P166"/>
    <mergeCell ref="V161:AF161"/>
    <mergeCell ref="AG161:EX161"/>
    <mergeCell ref="J162:J165"/>
    <mergeCell ref="Q162:Q165"/>
    <mergeCell ref="V162:AF162"/>
    <mergeCell ref="AG162:EX162"/>
    <mergeCell ref="K163:K164"/>
    <mergeCell ref="AC163:AC164"/>
    <mergeCell ref="AQ163:AQ164"/>
    <mergeCell ref="DN163:DN164"/>
    <mergeCell ref="DO163:DO164"/>
    <mergeCell ref="DP163:DP164"/>
    <mergeCell ref="DX163:DX164"/>
    <mergeCell ref="DY163:DY164"/>
    <mergeCell ref="DZ163:DZ164"/>
    <mergeCell ref="EA163:EA164"/>
    <mergeCell ref="EI163:EI164"/>
    <mergeCell ref="EJ163:EJ164"/>
    <mergeCell ref="EK163:EK164"/>
    <mergeCell ref="EL163:EL164"/>
    <mergeCell ref="EI115:EI116"/>
    <mergeCell ref="EJ115:EJ116"/>
    <mergeCell ref="EK115:EK116"/>
    <mergeCell ref="EL115:EL116"/>
    <mergeCell ref="EI125:EI126"/>
    <mergeCell ref="EJ125:EJ126"/>
    <mergeCell ref="EK125:EK126"/>
    <mergeCell ref="EL125:EL126"/>
    <mergeCell ref="EI133:EI134"/>
    <mergeCell ref="EJ133:EJ134"/>
    <mergeCell ref="EK133:EK134"/>
    <mergeCell ref="EL133:EL134"/>
    <mergeCell ref="EI141:EI142"/>
    <mergeCell ref="EJ141:EJ142"/>
    <mergeCell ref="EK141:EK142"/>
    <mergeCell ref="EL141:EL142"/>
    <mergeCell ref="EI151:EI152"/>
    <mergeCell ref="EJ151:EJ152"/>
    <mergeCell ref="EK151:EK152"/>
    <mergeCell ref="EL151:EL152"/>
    <mergeCell ref="EJ65:EJ66"/>
    <mergeCell ref="EK65:EK66"/>
    <mergeCell ref="EL65:EL66"/>
    <mergeCell ref="EI75:EI76"/>
    <mergeCell ref="EJ75:EJ76"/>
    <mergeCell ref="EK75:EK76"/>
    <mergeCell ref="EL75:EL76"/>
    <mergeCell ref="EI85:EI86"/>
    <mergeCell ref="EJ85:EJ86"/>
    <mergeCell ref="EK85:EK86"/>
    <mergeCell ref="EL85:EL86"/>
    <mergeCell ref="EI95:EI96"/>
    <mergeCell ref="EJ95:EJ96"/>
    <mergeCell ref="EK95:EK96"/>
    <mergeCell ref="EL95:EL96"/>
    <mergeCell ref="EI105:EI106"/>
    <mergeCell ref="EJ105:EJ106"/>
    <mergeCell ref="EK105:EK106"/>
    <mergeCell ref="EL105:EL106"/>
    <mergeCell ref="DX151:DX152"/>
    <mergeCell ref="DY151:DY152"/>
    <mergeCell ref="DZ151:DZ152"/>
    <mergeCell ref="EA151:EA152"/>
    <mergeCell ref="ED39:EE39"/>
    <mergeCell ref="EC39:EC40"/>
    <mergeCell ref="EF39:EF40"/>
    <mergeCell ref="EG39:EH39"/>
    <mergeCell ref="EC38:EE38"/>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B38:EB40"/>
    <mergeCell ref="EF38:EH38"/>
    <mergeCell ref="EI38:EK39"/>
    <mergeCell ref="EJ40:EK40"/>
    <mergeCell ref="EJ41:EK41"/>
    <mergeCell ref="EI55:EI56"/>
    <mergeCell ref="EJ55:EJ56"/>
    <mergeCell ref="EK55:EK56"/>
    <mergeCell ref="EL55:EL56"/>
    <mergeCell ref="EI65:EI66"/>
    <mergeCell ref="DZ105:DZ106"/>
    <mergeCell ref="EA105:EA106"/>
    <mergeCell ref="DX115:DX116"/>
    <mergeCell ref="DY115:DY116"/>
    <mergeCell ref="DZ115:DZ116"/>
    <mergeCell ref="EA115:EA116"/>
    <mergeCell ref="DX125:DX126"/>
    <mergeCell ref="DY125:DY126"/>
    <mergeCell ref="DZ125:DZ126"/>
    <mergeCell ref="EA125:EA126"/>
    <mergeCell ref="DX133:DX134"/>
    <mergeCell ref="DY133:DY134"/>
    <mergeCell ref="DZ133:DZ134"/>
    <mergeCell ref="EA133:EA134"/>
    <mergeCell ref="DX141:DX142"/>
    <mergeCell ref="DY141:DY142"/>
    <mergeCell ref="DZ141:DZ142"/>
    <mergeCell ref="EA141:EA142"/>
    <mergeCell ref="DY55:DY56"/>
    <mergeCell ref="DZ55:DZ56"/>
    <mergeCell ref="EA55:EA56"/>
    <mergeCell ref="DX65:DX66"/>
    <mergeCell ref="DY65:DY66"/>
    <mergeCell ref="DZ65:DZ66"/>
    <mergeCell ref="EA65:EA66"/>
    <mergeCell ref="DX75:DX76"/>
    <mergeCell ref="DY75:DY76"/>
    <mergeCell ref="DZ75:DZ76"/>
    <mergeCell ref="EA75:EA76"/>
    <mergeCell ref="DX85:DX86"/>
    <mergeCell ref="DY85:DY86"/>
    <mergeCell ref="DZ85:DZ86"/>
    <mergeCell ref="EA85:EA86"/>
    <mergeCell ref="DX95:DX96"/>
    <mergeCell ref="DY95:DY96"/>
    <mergeCell ref="DZ95:DZ96"/>
    <mergeCell ref="EA95:EA96"/>
    <mergeCell ref="DM141:DM142"/>
    <mergeCell ref="DN141:DN142"/>
    <mergeCell ref="DO141:DO142"/>
    <mergeCell ref="DP141:DP142"/>
    <mergeCell ref="DM151:DM152"/>
    <mergeCell ref="DN151:DN152"/>
    <mergeCell ref="DO151:DO152"/>
    <mergeCell ref="DP151:DP152"/>
    <mergeCell ref="DS39:DT39"/>
    <mergeCell ref="DR39:DR40"/>
    <mergeCell ref="DU39:DU40"/>
    <mergeCell ref="DV39:DW39"/>
    <mergeCell ref="DR38:DT38"/>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Q38:DQ40"/>
    <mergeCell ref="DU38:DW38"/>
    <mergeCell ref="DX38:DZ39"/>
    <mergeCell ref="DY40:DZ40"/>
    <mergeCell ref="DY41:DZ41"/>
    <mergeCell ref="DX55:DX56"/>
    <mergeCell ref="DM95:DM96"/>
    <mergeCell ref="DN95:DN96"/>
    <mergeCell ref="DO95:DO96"/>
    <mergeCell ref="DP95:DP96"/>
    <mergeCell ref="DM105:DM106"/>
    <mergeCell ref="DN105:DN106"/>
    <mergeCell ref="DO105:DO106"/>
    <mergeCell ref="DP105:DP106"/>
    <mergeCell ref="DM115:DM116"/>
    <mergeCell ref="DN115:DN116"/>
    <mergeCell ref="DO115:DO116"/>
    <mergeCell ref="DP115:DP116"/>
    <mergeCell ref="DM125:DM126"/>
    <mergeCell ref="DN125:DN126"/>
    <mergeCell ref="DO125:DO126"/>
    <mergeCell ref="DP125:DP126"/>
    <mergeCell ref="DM133:DM134"/>
    <mergeCell ref="DN133:DN134"/>
    <mergeCell ref="DO133:DO134"/>
    <mergeCell ref="DP133:DP134"/>
    <mergeCell ref="DN41:DO41"/>
    <mergeCell ref="DM55:DM56"/>
    <mergeCell ref="DN55:DN56"/>
    <mergeCell ref="DO55:DO56"/>
    <mergeCell ref="DP55:DP56"/>
    <mergeCell ref="DM65:DM66"/>
    <mergeCell ref="DN65:DN66"/>
    <mergeCell ref="DO65:DO66"/>
    <mergeCell ref="DP65:DP66"/>
    <mergeCell ref="DM75:DM76"/>
    <mergeCell ref="DN75:DN76"/>
    <mergeCell ref="DO75:DO76"/>
    <mergeCell ref="DP75:DP76"/>
    <mergeCell ref="DM85:DM86"/>
    <mergeCell ref="DN85:DN86"/>
    <mergeCell ref="DO85:DO86"/>
    <mergeCell ref="DP85:DP86"/>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F38:DF40"/>
    <mergeCell ref="DJ38:DL38"/>
    <mergeCell ref="DM38:DO39"/>
    <mergeCell ref="DN40:DO40"/>
    <mergeCell ref="DB115:DB116"/>
    <mergeCell ref="DC115:DC116"/>
    <mergeCell ref="DD115:DD116"/>
    <mergeCell ref="DE115:DE116"/>
    <mergeCell ref="DB125:DB126"/>
    <mergeCell ref="DC125:DC126"/>
    <mergeCell ref="DD125:DD126"/>
    <mergeCell ref="DE125:DE126"/>
    <mergeCell ref="DB133:DB134"/>
    <mergeCell ref="DC133:DC134"/>
    <mergeCell ref="DD133:DD134"/>
    <mergeCell ref="DE133:DE134"/>
    <mergeCell ref="DB141:DB142"/>
    <mergeCell ref="DC141:DC142"/>
    <mergeCell ref="DD141:DD142"/>
    <mergeCell ref="DE141:DE142"/>
    <mergeCell ref="DB151:DB152"/>
    <mergeCell ref="DC151:DC152"/>
    <mergeCell ref="DD151:DD152"/>
    <mergeCell ref="DE151:DE152"/>
    <mergeCell ref="DC55:DC56"/>
    <mergeCell ref="DD55:DD56"/>
    <mergeCell ref="DE55:DE56"/>
    <mergeCell ref="DB65:DB66"/>
    <mergeCell ref="DC65:DC66"/>
    <mergeCell ref="DD65:DD66"/>
    <mergeCell ref="DE65:DE66"/>
    <mergeCell ref="DB75:DB76"/>
    <mergeCell ref="DC75:DC76"/>
    <mergeCell ref="DD75:DD76"/>
    <mergeCell ref="DE75:DE76"/>
    <mergeCell ref="DB85:DB86"/>
    <mergeCell ref="DC85:DC86"/>
    <mergeCell ref="DD85:DD86"/>
    <mergeCell ref="DE85:DE86"/>
    <mergeCell ref="DB95:DB96"/>
    <mergeCell ref="DC95:DC96"/>
    <mergeCell ref="DD95:DD96"/>
    <mergeCell ref="DE95:DE96"/>
    <mergeCell ref="CQ141:CQ142"/>
    <mergeCell ref="CR141:CR142"/>
    <mergeCell ref="CS141:CS142"/>
    <mergeCell ref="CT141:CT142"/>
    <mergeCell ref="CQ151:CQ152"/>
    <mergeCell ref="CR151:CR152"/>
    <mergeCell ref="CS151:CS152"/>
    <mergeCell ref="CT151:CT152"/>
    <mergeCell ref="CW39:CX39"/>
    <mergeCell ref="CV39:CV40"/>
    <mergeCell ref="CY39:CY40"/>
    <mergeCell ref="CZ39:DA39"/>
    <mergeCell ref="CV38:CX38"/>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U38:CU40"/>
    <mergeCell ref="CY38:DA38"/>
    <mergeCell ref="DB38:DD39"/>
    <mergeCell ref="DC40:DD40"/>
    <mergeCell ref="DC41:DD41"/>
    <mergeCell ref="DB55:DB56"/>
    <mergeCell ref="CQ95:CQ96"/>
    <mergeCell ref="CR95:CR96"/>
    <mergeCell ref="CS95:CS96"/>
    <mergeCell ref="CT95:CT96"/>
    <mergeCell ref="CQ105:CQ106"/>
    <mergeCell ref="CR105:CR106"/>
    <mergeCell ref="CS105:CS106"/>
    <mergeCell ref="CT105:CT106"/>
    <mergeCell ref="CQ115:CQ116"/>
    <mergeCell ref="CR115:CR116"/>
    <mergeCell ref="CS115:CS116"/>
    <mergeCell ref="CT115:CT116"/>
    <mergeCell ref="CQ125:CQ126"/>
    <mergeCell ref="CR125:CR126"/>
    <mergeCell ref="CS125:CS126"/>
    <mergeCell ref="CT125:CT126"/>
    <mergeCell ref="CQ133:CQ134"/>
    <mergeCell ref="CR133:CR134"/>
    <mergeCell ref="CS133:CS134"/>
    <mergeCell ref="CT133:CT134"/>
    <mergeCell ref="CR41:CS41"/>
    <mergeCell ref="CQ55:CQ56"/>
    <mergeCell ref="CR55:CR56"/>
    <mergeCell ref="CS55:CS56"/>
    <mergeCell ref="CT55:CT56"/>
    <mergeCell ref="CQ65:CQ66"/>
    <mergeCell ref="CR65:CR66"/>
    <mergeCell ref="CS65:CS66"/>
    <mergeCell ref="CT65:CT66"/>
    <mergeCell ref="CQ75:CQ76"/>
    <mergeCell ref="CR75:CR76"/>
    <mergeCell ref="CS75:CS76"/>
    <mergeCell ref="CT75:CT76"/>
    <mergeCell ref="CQ85:CQ86"/>
    <mergeCell ref="CR85:CR86"/>
    <mergeCell ref="CS85:CS86"/>
    <mergeCell ref="CT85:CT86"/>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F115:CF116"/>
    <mergeCell ref="CG115:CG116"/>
    <mergeCell ref="CH115:CH116"/>
    <mergeCell ref="CI115:CI116"/>
    <mergeCell ref="CF125:CF126"/>
    <mergeCell ref="CG125:CG126"/>
    <mergeCell ref="CH125:CH126"/>
    <mergeCell ref="CI125:CI126"/>
    <mergeCell ref="CF133:CF134"/>
    <mergeCell ref="CG133:CG134"/>
    <mergeCell ref="CH133:CH134"/>
    <mergeCell ref="CI133:CI134"/>
    <mergeCell ref="CF141:CF142"/>
    <mergeCell ref="CG141:CG142"/>
    <mergeCell ref="CH141:CH142"/>
    <mergeCell ref="CI141:CI142"/>
    <mergeCell ref="CF151:CF152"/>
    <mergeCell ref="CG151:CG152"/>
    <mergeCell ref="CH151:CH152"/>
    <mergeCell ref="CI151:CI152"/>
    <mergeCell ref="CG55:CG56"/>
    <mergeCell ref="CH55:CH56"/>
    <mergeCell ref="CI55:CI56"/>
    <mergeCell ref="CF65:CF66"/>
    <mergeCell ref="CG65:CG66"/>
    <mergeCell ref="CH65:CH66"/>
    <mergeCell ref="CI65:CI66"/>
    <mergeCell ref="CF75:CF76"/>
    <mergeCell ref="CG75:CG76"/>
    <mergeCell ref="CH75:CH76"/>
    <mergeCell ref="CI75:CI76"/>
    <mergeCell ref="CF85:CF86"/>
    <mergeCell ref="CG85:CG86"/>
    <mergeCell ref="CH85:CH86"/>
    <mergeCell ref="CI85:CI86"/>
    <mergeCell ref="CF95:CF96"/>
    <mergeCell ref="CG95:CG96"/>
    <mergeCell ref="CH95:CH96"/>
    <mergeCell ref="CI95:CI96"/>
    <mergeCell ref="BU141:BU142"/>
    <mergeCell ref="BV141:BV142"/>
    <mergeCell ref="BW141:BW142"/>
    <mergeCell ref="BX141:BX142"/>
    <mergeCell ref="BU151:BU152"/>
    <mergeCell ref="BV151:BV152"/>
    <mergeCell ref="BW151:BW152"/>
    <mergeCell ref="BX151:BX152"/>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55:CF56"/>
    <mergeCell ref="BU95:BU96"/>
    <mergeCell ref="BV95:BV96"/>
    <mergeCell ref="BW95:BW96"/>
    <mergeCell ref="BX95:BX96"/>
    <mergeCell ref="BU105:BU106"/>
    <mergeCell ref="BV105:BV106"/>
    <mergeCell ref="BW105:BW106"/>
    <mergeCell ref="BX105:BX106"/>
    <mergeCell ref="BU115:BU116"/>
    <mergeCell ref="BV115:BV116"/>
    <mergeCell ref="BW115:BW116"/>
    <mergeCell ref="BX115:BX116"/>
    <mergeCell ref="BU125:BU126"/>
    <mergeCell ref="BV125:BV126"/>
    <mergeCell ref="BW125:BW126"/>
    <mergeCell ref="BX125:BX126"/>
    <mergeCell ref="BU133:BU134"/>
    <mergeCell ref="BV133:BV134"/>
    <mergeCell ref="BW133:BW134"/>
    <mergeCell ref="BX133:BX134"/>
    <mergeCell ref="BV41:BW41"/>
    <mergeCell ref="BU55:BU56"/>
    <mergeCell ref="BV55:BV56"/>
    <mergeCell ref="BW55:BW56"/>
    <mergeCell ref="BX55:BX56"/>
    <mergeCell ref="BU65:BU66"/>
    <mergeCell ref="BV65:BV66"/>
    <mergeCell ref="BW65:BW66"/>
    <mergeCell ref="BX65:BX66"/>
    <mergeCell ref="BU75:BU76"/>
    <mergeCell ref="BV75:BV76"/>
    <mergeCell ref="BW75:BW76"/>
    <mergeCell ref="BX75:BX76"/>
    <mergeCell ref="BU85:BU86"/>
    <mergeCell ref="BV85:BV86"/>
    <mergeCell ref="BW85:BW86"/>
    <mergeCell ref="BX85:BX86"/>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J115:BJ116"/>
    <mergeCell ref="BK115:BK116"/>
    <mergeCell ref="BL115:BL116"/>
    <mergeCell ref="BM115:BM116"/>
    <mergeCell ref="BJ125:BJ126"/>
    <mergeCell ref="BK125:BK126"/>
    <mergeCell ref="BL125:BL126"/>
    <mergeCell ref="BM125:BM126"/>
    <mergeCell ref="BJ133:BJ134"/>
    <mergeCell ref="BK133:BK134"/>
    <mergeCell ref="BL133:BL134"/>
    <mergeCell ref="BM133:BM134"/>
    <mergeCell ref="BJ141:BJ142"/>
    <mergeCell ref="BK141:BK142"/>
    <mergeCell ref="BL141:BL142"/>
    <mergeCell ref="BM141:BM142"/>
    <mergeCell ref="BJ151:BJ152"/>
    <mergeCell ref="BK151:BK152"/>
    <mergeCell ref="BL151:BL152"/>
    <mergeCell ref="BM151:BM152"/>
    <mergeCell ref="BK55:BK56"/>
    <mergeCell ref="BL55:BL56"/>
    <mergeCell ref="BM55:BM56"/>
    <mergeCell ref="BJ65:BJ66"/>
    <mergeCell ref="BK65:BK66"/>
    <mergeCell ref="BL65:BL66"/>
    <mergeCell ref="BM65:BM66"/>
    <mergeCell ref="BJ75:BJ76"/>
    <mergeCell ref="BK75:BK76"/>
    <mergeCell ref="BL75:BL76"/>
    <mergeCell ref="BM75:BM76"/>
    <mergeCell ref="BJ85:BJ86"/>
    <mergeCell ref="BK85:BK86"/>
    <mergeCell ref="BL85:BL86"/>
    <mergeCell ref="BM85:BM86"/>
    <mergeCell ref="BJ95:BJ96"/>
    <mergeCell ref="BK95:BK96"/>
    <mergeCell ref="BL95:BL96"/>
    <mergeCell ref="BM95:BM96"/>
    <mergeCell ref="AY141:AY142"/>
    <mergeCell ref="AZ141:AZ142"/>
    <mergeCell ref="BA141:BA142"/>
    <mergeCell ref="BB141:BB142"/>
    <mergeCell ref="AY151:AY152"/>
    <mergeCell ref="AZ151:AZ152"/>
    <mergeCell ref="BA151:BA152"/>
    <mergeCell ref="BB151:BB152"/>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J55:BJ56"/>
    <mergeCell ref="AY95:AY96"/>
    <mergeCell ref="AZ95:AZ96"/>
    <mergeCell ref="BA95:BA96"/>
    <mergeCell ref="BB95:BB96"/>
    <mergeCell ref="AY105:AY106"/>
    <mergeCell ref="AZ105:AZ106"/>
    <mergeCell ref="BA105:BA106"/>
    <mergeCell ref="BB105:BB106"/>
    <mergeCell ref="AY115:AY116"/>
    <mergeCell ref="AZ115:AZ116"/>
    <mergeCell ref="BA115:BA116"/>
    <mergeCell ref="BB115:BB116"/>
    <mergeCell ref="AY125:AY126"/>
    <mergeCell ref="AZ125:AZ126"/>
    <mergeCell ref="BA125:BA126"/>
    <mergeCell ref="BB125:BB126"/>
    <mergeCell ref="AY133:AY134"/>
    <mergeCell ref="AZ133:AZ134"/>
    <mergeCell ref="BA133:BA134"/>
    <mergeCell ref="BB133:BB134"/>
    <mergeCell ref="AP151:AP152"/>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AY55:AY56"/>
    <mergeCell ref="AZ55:AZ56"/>
    <mergeCell ref="BA55:BA56"/>
    <mergeCell ref="BB55:BB56"/>
    <mergeCell ref="AY65:AY66"/>
    <mergeCell ref="AZ65:AZ66"/>
    <mergeCell ref="BA65:BA66"/>
    <mergeCell ref="BB65:BB66"/>
    <mergeCell ref="AQ141:AQ142"/>
    <mergeCell ref="EY141:EY142"/>
    <mergeCell ref="AD141:AD142"/>
    <mergeCell ref="AE141:AE142"/>
    <mergeCell ref="AF141:AF142"/>
    <mergeCell ref="AN141:AN142"/>
    <mergeCell ref="AO141:AO142"/>
    <mergeCell ref="AP141:AP142"/>
    <mergeCell ref="F147:F156"/>
    <mergeCell ref="V147:AF147"/>
    <mergeCell ref="AG147:EX147"/>
    <mergeCell ref="G148:G155"/>
    <mergeCell ref="V148:AF148"/>
    <mergeCell ref="AG148:EX148"/>
    <mergeCell ref="H149:H155"/>
    <mergeCell ref="I149:I154"/>
    <mergeCell ref="P149:P154"/>
    <mergeCell ref="V149:AF149"/>
    <mergeCell ref="AG149:EX149"/>
    <mergeCell ref="J150:J153"/>
    <mergeCell ref="Q150:Q153"/>
    <mergeCell ref="V150:AF150"/>
    <mergeCell ref="AG150:EX150"/>
    <mergeCell ref="K151:K152"/>
    <mergeCell ref="AC151:AC152"/>
    <mergeCell ref="AQ151:AQ152"/>
    <mergeCell ref="EY151:EY152"/>
    <mergeCell ref="AD151:AD152"/>
    <mergeCell ref="AE151:AE152"/>
    <mergeCell ref="AF151:AF152"/>
    <mergeCell ref="AN151:AN152"/>
    <mergeCell ref="AO151:AO152"/>
    <mergeCell ref="EY125:EY126"/>
    <mergeCell ref="AD125:AD126"/>
    <mergeCell ref="AE125:AE126"/>
    <mergeCell ref="AF125:AF126"/>
    <mergeCell ref="AN125:AN126"/>
    <mergeCell ref="AO125:AO126"/>
    <mergeCell ref="AP125:AP126"/>
    <mergeCell ref="G130:G137"/>
    <mergeCell ref="V130:AF130"/>
    <mergeCell ref="AG130:EX130"/>
    <mergeCell ref="H131:H137"/>
    <mergeCell ref="I131:I136"/>
    <mergeCell ref="P131:P136"/>
    <mergeCell ref="V131:AF131"/>
    <mergeCell ref="AG131:EX131"/>
    <mergeCell ref="J132:J135"/>
    <mergeCell ref="Q132:Q135"/>
    <mergeCell ref="V132:AF132"/>
    <mergeCell ref="AG132:EX132"/>
    <mergeCell ref="K133:K134"/>
    <mergeCell ref="AC133:AC134"/>
    <mergeCell ref="AQ133:AQ134"/>
    <mergeCell ref="EY133:EY134"/>
    <mergeCell ref="AD133:AD134"/>
    <mergeCell ref="AE133:AE134"/>
    <mergeCell ref="AF133:AF134"/>
    <mergeCell ref="AN133:AN134"/>
    <mergeCell ref="AO133:AO134"/>
    <mergeCell ref="AP133:AP134"/>
    <mergeCell ref="F121:F146"/>
    <mergeCell ref="V121:AF121"/>
    <mergeCell ref="AG121:EX121"/>
    <mergeCell ref="G122:G129"/>
    <mergeCell ref="V122:AF122"/>
    <mergeCell ref="AG122:EX122"/>
    <mergeCell ref="H123:H129"/>
    <mergeCell ref="I123:I128"/>
    <mergeCell ref="P123:P128"/>
    <mergeCell ref="V123:AF123"/>
    <mergeCell ref="AG123:EX123"/>
    <mergeCell ref="J124:J127"/>
    <mergeCell ref="Q124:Q127"/>
    <mergeCell ref="V124:AF124"/>
    <mergeCell ref="AG124:EX124"/>
    <mergeCell ref="K125:K126"/>
    <mergeCell ref="AC125:AC126"/>
    <mergeCell ref="AQ125:AQ126"/>
    <mergeCell ref="G138:G145"/>
    <mergeCell ref="V138:AF138"/>
    <mergeCell ref="AG138:EX138"/>
    <mergeCell ref="H139:H145"/>
    <mergeCell ref="I139:I144"/>
    <mergeCell ref="P139:P144"/>
    <mergeCell ref="V139:AF139"/>
    <mergeCell ref="AG139:EX139"/>
    <mergeCell ref="J140:J143"/>
    <mergeCell ref="Q140:Q143"/>
    <mergeCell ref="V140:AF140"/>
    <mergeCell ref="AG140:EX140"/>
    <mergeCell ref="K141:K142"/>
    <mergeCell ref="AC141:AC142"/>
    <mergeCell ref="EY105:EY106"/>
    <mergeCell ref="AD105:AD106"/>
    <mergeCell ref="AE105:AE106"/>
    <mergeCell ref="AF105:AF106"/>
    <mergeCell ref="AN105:AN106"/>
    <mergeCell ref="AO105:AO106"/>
    <mergeCell ref="AP105:AP106"/>
    <mergeCell ref="F111:F120"/>
    <mergeCell ref="V111:AF111"/>
    <mergeCell ref="AG111:EX111"/>
    <mergeCell ref="G112:G119"/>
    <mergeCell ref="V112:AF112"/>
    <mergeCell ref="AG112:EX112"/>
    <mergeCell ref="H113:H119"/>
    <mergeCell ref="I113:I118"/>
    <mergeCell ref="P113:P118"/>
    <mergeCell ref="V113:AF113"/>
    <mergeCell ref="AG113:EX113"/>
    <mergeCell ref="J114:J117"/>
    <mergeCell ref="Q114:Q117"/>
    <mergeCell ref="V114:AF114"/>
    <mergeCell ref="AG114:EX114"/>
    <mergeCell ref="K115:K116"/>
    <mergeCell ref="AC115:AC116"/>
    <mergeCell ref="AQ115:AQ116"/>
    <mergeCell ref="EY115:EY116"/>
    <mergeCell ref="AD115:AD116"/>
    <mergeCell ref="AE115:AE116"/>
    <mergeCell ref="AF115:AF116"/>
    <mergeCell ref="AN115:AN116"/>
    <mergeCell ref="AO115:AO116"/>
    <mergeCell ref="AP115:AP116"/>
    <mergeCell ref="F101:F110"/>
    <mergeCell ref="V101:AF101"/>
    <mergeCell ref="AG101:EX101"/>
    <mergeCell ref="G102:G109"/>
    <mergeCell ref="V102:AF102"/>
    <mergeCell ref="AG102:EX102"/>
    <mergeCell ref="H103:H109"/>
    <mergeCell ref="I103:I108"/>
    <mergeCell ref="P103:P108"/>
    <mergeCell ref="V103:AF103"/>
    <mergeCell ref="AG103:EX103"/>
    <mergeCell ref="J104:J107"/>
    <mergeCell ref="Q104:Q107"/>
    <mergeCell ref="V104:AF104"/>
    <mergeCell ref="AG104:EX104"/>
    <mergeCell ref="K105:K106"/>
    <mergeCell ref="AC105:AC106"/>
    <mergeCell ref="AQ105:AQ106"/>
    <mergeCell ref="BJ105:BJ106"/>
    <mergeCell ref="BK105:BK106"/>
    <mergeCell ref="BL105:BL106"/>
    <mergeCell ref="BM105:BM106"/>
    <mergeCell ref="CF105:CF106"/>
    <mergeCell ref="CG105:CG106"/>
    <mergeCell ref="CH105:CH106"/>
    <mergeCell ref="CI105:CI106"/>
    <mergeCell ref="DB105:DB106"/>
    <mergeCell ref="DC105:DC106"/>
    <mergeCell ref="DD105:DD106"/>
    <mergeCell ref="DE105:DE106"/>
    <mergeCell ref="DX105:DX106"/>
    <mergeCell ref="DY105:DY106"/>
    <mergeCell ref="EY85:EY86"/>
    <mergeCell ref="AD85:AD86"/>
    <mergeCell ref="AE85:AE86"/>
    <mergeCell ref="AF85:AF86"/>
    <mergeCell ref="AN85:AN86"/>
    <mergeCell ref="AO85:AO86"/>
    <mergeCell ref="AP85:AP86"/>
    <mergeCell ref="F91:F100"/>
    <mergeCell ref="V91:AF91"/>
    <mergeCell ref="AG91:EX91"/>
    <mergeCell ref="G92:G99"/>
    <mergeCell ref="V92:AF92"/>
    <mergeCell ref="AG92:EX92"/>
    <mergeCell ref="H93:H99"/>
    <mergeCell ref="I93:I98"/>
    <mergeCell ref="P93:P98"/>
    <mergeCell ref="V93:AF93"/>
    <mergeCell ref="AG93:EX93"/>
    <mergeCell ref="J94:J97"/>
    <mergeCell ref="Q94:Q97"/>
    <mergeCell ref="V94:AF94"/>
    <mergeCell ref="AG94:EX94"/>
    <mergeCell ref="K95:K96"/>
    <mergeCell ref="AC95:AC96"/>
    <mergeCell ref="AQ95:AQ96"/>
    <mergeCell ref="EY95:EY96"/>
    <mergeCell ref="AD95:AD96"/>
    <mergeCell ref="AE95:AE96"/>
    <mergeCell ref="AF95:AF96"/>
    <mergeCell ref="AN95:AN96"/>
    <mergeCell ref="AO95:AO96"/>
    <mergeCell ref="AP95:AP96"/>
    <mergeCell ref="AF75:AF76"/>
    <mergeCell ref="AN75:AN76"/>
    <mergeCell ref="AO75:AO76"/>
    <mergeCell ref="AP75:AP76"/>
    <mergeCell ref="F81:F90"/>
    <mergeCell ref="V81:AF81"/>
    <mergeCell ref="AG81:EX81"/>
    <mergeCell ref="G82:G89"/>
    <mergeCell ref="V82:AF82"/>
    <mergeCell ref="AG82:EX82"/>
    <mergeCell ref="H83:H89"/>
    <mergeCell ref="I83:I88"/>
    <mergeCell ref="P83:P88"/>
    <mergeCell ref="V83:AF83"/>
    <mergeCell ref="AG83:EX83"/>
    <mergeCell ref="J84:J87"/>
    <mergeCell ref="Q84:Q87"/>
    <mergeCell ref="V84:AF84"/>
    <mergeCell ref="AG84:EX84"/>
    <mergeCell ref="K85:K86"/>
    <mergeCell ref="AC85:AC86"/>
    <mergeCell ref="AQ85:AQ86"/>
    <mergeCell ref="AY75:AY76"/>
    <mergeCell ref="AZ75:AZ76"/>
    <mergeCell ref="BA75:BA76"/>
    <mergeCell ref="BB75:BB76"/>
    <mergeCell ref="AY85:AY86"/>
    <mergeCell ref="AZ85:AZ86"/>
    <mergeCell ref="BA85:BA86"/>
    <mergeCell ref="BB85:BB86"/>
    <mergeCell ref="AG64:EX64"/>
    <mergeCell ref="K65:K66"/>
    <mergeCell ref="AC65:AC66"/>
    <mergeCell ref="AQ65:AQ66"/>
    <mergeCell ref="EY65:EY66"/>
    <mergeCell ref="AD65:AD66"/>
    <mergeCell ref="AE65:AE66"/>
    <mergeCell ref="AF65:AF66"/>
    <mergeCell ref="AN65:AN66"/>
    <mergeCell ref="AO65:AO66"/>
    <mergeCell ref="AP65:AP66"/>
    <mergeCell ref="F71:F80"/>
    <mergeCell ref="V71:AF71"/>
    <mergeCell ref="AG71:EX71"/>
    <mergeCell ref="G72:G79"/>
    <mergeCell ref="V72:AF72"/>
    <mergeCell ref="AG72:EX72"/>
    <mergeCell ref="H73:H79"/>
    <mergeCell ref="I73:I78"/>
    <mergeCell ref="P73:P78"/>
    <mergeCell ref="V73:AF73"/>
    <mergeCell ref="AG73:EX73"/>
    <mergeCell ref="J74:J77"/>
    <mergeCell ref="Q74:Q77"/>
    <mergeCell ref="V74:AF74"/>
    <mergeCell ref="AG74:EX74"/>
    <mergeCell ref="K75:K76"/>
    <mergeCell ref="AC75:AC76"/>
    <mergeCell ref="AQ75:AQ76"/>
    <mergeCell ref="EY75:EY76"/>
    <mergeCell ref="AD75:AD76"/>
    <mergeCell ref="AE75:AE76"/>
    <mergeCell ref="EY47:EY48"/>
    <mergeCell ref="T360:EY360"/>
    <mergeCell ref="T362:EY362"/>
    <mergeCell ref="K47:K48"/>
    <mergeCell ref="AN47:AN48"/>
    <mergeCell ref="G52:G59"/>
    <mergeCell ref="V52:AF52"/>
    <mergeCell ref="AG52:EX52"/>
    <mergeCell ref="H53:H59"/>
    <mergeCell ref="I53:I58"/>
    <mergeCell ref="P53:P58"/>
    <mergeCell ref="V53:AF53"/>
    <mergeCell ref="AG53:EX53"/>
    <mergeCell ref="J54:J57"/>
    <mergeCell ref="Q54:Q57"/>
    <mergeCell ref="V54:AF54"/>
    <mergeCell ref="AG54:EX54"/>
    <mergeCell ref="K55:K56"/>
    <mergeCell ref="AC55:AC56"/>
    <mergeCell ref="AQ55:AQ56"/>
    <mergeCell ref="EY55:EY56"/>
    <mergeCell ref="AD55:AD56"/>
    <mergeCell ref="AE55:AE56"/>
    <mergeCell ref="AF55:AF56"/>
    <mergeCell ref="AN55:AN56"/>
    <mergeCell ref="AO55:AO56"/>
    <mergeCell ref="AP55:AP56"/>
    <mergeCell ref="V61:AF61"/>
    <mergeCell ref="AG61:EX61"/>
    <mergeCell ref="G62:G69"/>
    <mergeCell ref="V62:AF62"/>
    <mergeCell ref="AG62:EX62"/>
    <mergeCell ref="AD41:AE41"/>
    <mergeCell ref="AO41:AP41"/>
    <mergeCell ref="E42:E157"/>
    <mergeCell ref="V42:AF42"/>
    <mergeCell ref="AG42:EX42"/>
    <mergeCell ref="F43:F60"/>
    <mergeCell ref="V43:AF43"/>
    <mergeCell ref="AG43:EX43"/>
    <mergeCell ref="G44:G51"/>
    <mergeCell ref="V44:AF44"/>
    <mergeCell ref="AG44:EX44"/>
    <mergeCell ref="H45:H51"/>
    <mergeCell ref="I45:I50"/>
    <mergeCell ref="P45:P50"/>
    <mergeCell ref="V45:AF45"/>
    <mergeCell ref="AG45:EX45"/>
    <mergeCell ref="J46:J49"/>
    <mergeCell ref="Q46:Q49"/>
    <mergeCell ref="V46:AF46"/>
    <mergeCell ref="AG46:EX46"/>
    <mergeCell ref="AO47:AO48"/>
    <mergeCell ref="AP47:AP48"/>
    <mergeCell ref="AQ47:AQ48"/>
    <mergeCell ref="F61:F70"/>
    <mergeCell ref="H63:H69"/>
    <mergeCell ref="I63:I68"/>
    <mergeCell ref="P63:P68"/>
    <mergeCell ref="V63:AF63"/>
    <mergeCell ref="AG63:EX63"/>
    <mergeCell ref="J64:J67"/>
    <mergeCell ref="Q64:Q67"/>
    <mergeCell ref="V64:AF64"/>
    <mergeCell ref="S32:T32"/>
    <mergeCell ref="V32:AE32"/>
    <mergeCell ref="AG32:AP32"/>
    <mergeCell ref="S33:T33"/>
    <mergeCell ref="V33:AE33"/>
    <mergeCell ref="AG33:AP33"/>
    <mergeCell ref="EX37:EX40"/>
    <mergeCell ref="AD40:AE40"/>
    <mergeCell ref="AO40:AP40"/>
    <mergeCell ref="V35:AF35"/>
    <mergeCell ref="AG35:AQ35"/>
    <mergeCell ref="S36:EX36"/>
    <mergeCell ref="AN38:AP39"/>
    <mergeCell ref="AC38:AE39"/>
    <mergeCell ref="AL39:AM39"/>
    <mergeCell ref="Z38:AB38"/>
    <mergeCell ref="V38:V40"/>
    <mergeCell ref="BP39:BQ39"/>
    <mergeCell ref="BO39:BO40"/>
    <mergeCell ref="BR39:BR40"/>
    <mergeCell ref="BS39:BT39"/>
    <mergeCell ref="BO38:BQ38"/>
    <mergeCell ref="CL39:CM39"/>
    <mergeCell ref="CK39:CK40"/>
    <mergeCell ref="CN39:CN40"/>
    <mergeCell ref="CO39:CP39"/>
    <mergeCell ref="CK38:CM38"/>
    <mergeCell ref="DH39:DI39"/>
    <mergeCell ref="DG39:DG40"/>
    <mergeCell ref="DJ39:DJ40"/>
    <mergeCell ref="DK39:DL39"/>
    <mergeCell ref="DG38:DI38"/>
    <mergeCell ref="AG38:AG40"/>
    <mergeCell ref="EY7:EY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EY36:EY40"/>
    <mergeCell ref="S37:S40"/>
    <mergeCell ref="T37:T40"/>
    <mergeCell ref="V37:AE37"/>
    <mergeCell ref="AF37:AF40"/>
    <mergeCell ref="AG37:AP37"/>
    <mergeCell ref="AQ37:AQ40"/>
    <mergeCell ref="AH38:AJ38"/>
    <mergeCell ref="AK38:AM38"/>
    <mergeCell ref="AH39:AH40"/>
    <mergeCell ref="AI39:AJ39"/>
    <mergeCell ref="AK39:AK40"/>
    <mergeCell ref="X39:Y39"/>
    <mergeCell ref="W39:W40"/>
    <mergeCell ref="Z39:Z40"/>
    <mergeCell ref="AA39:AB39"/>
    <mergeCell ref="W38:Y38"/>
    <mergeCell ref="E2:E13"/>
    <mergeCell ref="V2:AF2"/>
    <mergeCell ref="AG2:EX2"/>
    <mergeCell ref="F3:F12"/>
    <mergeCell ref="V3:AF3"/>
    <mergeCell ref="AG3:EX3"/>
    <mergeCell ref="G4:G11"/>
    <mergeCell ref="V4:AF4"/>
    <mergeCell ref="AG4:EX4"/>
    <mergeCell ref="H5:H11"/>
    <mergeCell ref="I5:I10"/>
    <mergeCell ref="P5:P10"/>
    <mergeCell ref="V5:AF5"/>
    <mergeCell ref="AG5:EX5"/>
    <mergeCell ref="J6:J9"/>
    <mergeCell ref="Q6:Q9"/>
    <mergeCell ref="V6:AF6"/>
    <mergeCell ref="AG6:EX6"/>
    <mergeCell ref="K7:K8"/>
    <mergeCell ref="AC7:AC8"/>
    <mergeCell ref="AQ7:AQ8"/>
    <mergeCell ref="S29:T29"/>
  </mergeCells>
  <dataValidations count="7">
    <dataValidation allowBlank="1" sqref="S131421:EY131427 S196957:EY196963 S262493:EY262499 S328029:EY328035 S393565:EY393571 S459101:EY459107 S524637:EY524643 S590173:EY590179 S655709:EY655715 S721245:EY721251 S786781:EY786787 S852317:EY852323 S917853:EY917859 S983389:EY983395 S65885:EY65891"/>
    <dataValidation type="list" allowBlank="1" showInputMessage="1" errorTitle="Ошибка" error="Выберите значение из списка" prompt="Выберите значение из списка" sqref="V983386:EX983386 V65882:EX65882 V131418:EX131418 V196954:EX196954 V262490:EX262490 V328026:EX328026 V393562:EX393562 V459098:EX459098 V524634:EX524634 V590170:EX590170 V655706:EX655706 V721242:EX721242 V786778:EX786778 V852314:EX852314 V917850:EX917850">
      <formula1>kind_of_cons</formula1>
    </dataValidation>
    <dataValidation type="list" allowBlank="1" showInputMessage="1" showErrorMessage="1" errorTitle="Ошибка" error="Выберите значение из списка" sqref="AG917849:AL917849 AG852313:AL852313 AG786777:AL786777 AG721241:AL721241 AG655705:AL655705 AG590169:AL590169 AG524633:AL524633 AG459097:AL459097 AG393561:AL393561 AG328025:AL328025 AG262489:AL262489 AG196953:AL196953 AG131417:AL131417 AG65881:AL65881 AG983385:AL983385 V983385:AB983385 V65881:AB65881 V131417:AB131417 V196953:AB196953 V262489:AB262489 V328025:AB328025 V393561:AB393561 V459097:AB459097 V524633:AB524633 V590169:AB590169 V655705:AB655705 V721241:AB721241 V786777:AB786777 V852313:AB852313 V917849:AB917849">
      <formula1>kind_of_scheme_in</formula1>
    </dataValidation>
    <dataValidation type="textLength" operator="lessThanOrEqual" allowBlank="1" showInputMessage="1" showErrorMessage="1" errorTitle="Ошибка" error="Допускается ввод не более 900 символов!" sqref="EY65877:EY65884 EY131413:EY131420 EY196949:EY196956 EY262485:EY262492 EY328021:EY328028 EY393557:EY393564 EY459093:EY459100 EY524629:EY524636 EY590165:EY590172 EY655701:EY655708 EY721237:EY721244 EY786773:EY786780 EY852309:EY852316 EY917845:EY917852 EY983381:EY983388 T47 T7 AG45:AQ45 EX45 AG5:AQ5 EX5 AG53 AH53 AI53 AJ53 AK53 AL53 AM53 AN53 AO53 AP53 AQ53 EX53 T55 AG63 AH63 AI63 AJ63 AK63 AL63 AM63 AN63 AO63 AP63 AQ63 EX63 T65 AG73 AH73 AI73 AJ73 AK73 AL73 AM73 AN73 AO73 AP73 AQ73 EX73 T75 AG83 AH83 AI83 AJ83 AK83 AL83 AM83 AN83 AO83 AP83 AQ83 EX83 T85 AG93 AH93 AI93 AJ93 AK93 AL93 AM93 AN93 AO93 AP93 AQ93 EX93 T95 AG103 AH103 AI103 AJ103 AK103 AL103 AM103 AN103 AO103 AP103 AQ103 EX103 T105 AG113 AH113 AI113 AJ113 AK113 AL113 AM113 AN113 AO113 AP113 AQ113 EX113 T115 AG123 AH123 AI123 AJ123 AK123 AL123 AM123 AN123 AO123 AP123 AQ123 EX123 T125 AG131 AH131 AI131 AJ131 AK131 AL131 AM131 AN131 AO131 AP131 AQ131 EX131 T133 AG139 AH139 AI139 AJ139 AK139 AL139 AM139 AN139 AO139 AP139 AQ139 EX139 T141 AG149 AH149 AI149 AJ149 AK149 AL149 AM149 AN149 AO149 AP149 AQ149 EX149 T151 AG161 AH161 AI161 AJ161 AK161 AL161 AM161 AN161 AO161 AP161 AQ161 EX161 T163 AG169 AH169 AI169 AJ169 AK169 AL169 AM169 AN169 AO169 AP169 AQ169 EX169 T171 AG179 AH179 AI179 AJ179 AK179 AL179 AM179 AN179 AO179 AP179 AQ179 EX179 T181 AG189 AH189 AI189 AJ189 AK189 AL189 AM189 AN189 AO189 AP189 AQ189 EX189 T191 AG199 AH199 AI199 AJ199 AK199 AL199 AM199 AN199 AO199 AP199 AQ199 EX199 T201 AG209 AH209 AI209 AJ209 AK209 AL209 AM209 AN209 AO209 AP209 AQ209 EX209 T211 AG219 AH219 AI219 AJ219 AK219 AL219 AM219 AN219 AO219 AP219 AQ219 EX219 T221 AG229 AH229 AI229 AJ229 AK229 AL229 AM229 AN229 AO229 AP229 AQ229 EX229 T231 AG239 AH239 AI239 AJ239 AK239 AL239 AM239 AN239 AO239 AP239 AQ239 EX239 T241 AG249 AH249 AI249 AJ249 AK249 AL249 AM249 AN249 AO249 AP249 AQ249 EX249 T251 AG261 AH261 AI261 AJ261 AK261 AL261 AM261 AN261 AO261 AP261 AQ261 EX261 T263 AG269 AH269 AI269 AJ269 AK269 AL269 AM269 AN269 AO269 AP269 AQ269 EX269 T271 AG279 AH279 AI279 AJ279 AK279 AL279 AM279 AN279 AO279 AP279 AQ279 EX279 T281 AG289 AH289 AI289 AJ289 AK289 AL289 AM289 AN289 AO289 AP289 AQ289 EX289 T291 AG299 AH299 AI299 AJ299 AK299 AL299 AM299 AN299 AO299 AP299 AQ299 EX299 T301 AG309 AH309 AI309 AJ309 AK309 AL309 AM309 AN309 AO309 AP309 AQ309 EX309 T311 AG319 AH319 AI319 AJ319 AK319 AL319 AM319 AN319 AO319 AP319 AQ319 EX319 T321 AG329 AH329 AI329 AJ329 AK329 AL329 AM329 AN329 AO329 AP329 AQ329 EX329 T331 AG339 AH339 AI339 AJ339 AK339 AL339 AM339 AN339 AO339 AP339 AQ339 EX339 T341 AG349 AH349 AI349 AJ349 AK349 AL349 AM349 AN349 AO349 AP349 AQ349 EX349 T351">
      <formula1>900</formula1>
    </dataValidation>
    <dataValidation type="list" allowBlank="1" showInputMessage="1" showErrorMessage="1" errorTitle="Ошибка" error="Выберите значение из списка" sqref="T65883 T131419 T196955 T262491 T328027 T393563 T459099 T524635 T590171 T655707 T721243 T786779 T852315 T917851 T9833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883 AC131419 AC196955 AC262491 AC328027 AC393563 AC459099 AC524635 AC590171 AC655707 AC721243 AC786779 AC852315 AC917851 AC983387 AE65883 AE131419 AE196955 AE262491 AE328027 AE393563 AE459099 AE524635 AE590171 AE655707 AE721243 AE786779 AE852315 AE917851 AE983387 AN15 AN65883 AN131419 AN196955 AN262491 AN328027 AN393563 AN459099 AN524635 AN590171 AN655707 AN721243 AN786779 AN852315 AN917851 AN983387 AP65883 AP131419 AP196955 AP262491 AP328027 AP393563 AP459099 AP524635 AP590171 AP655707 AP721243 AP786779 AP852315 AP917851 AP983387 AP47 AN47 AP15 AP7 AN7 AC7 AE7 AC47 AE47 AC55 AE55 AN55 AP55 AC65 AE65 AN65 AP65 AC75 AE75 AN75 AP75 AC85 AE85 AN85 AP85 AC95 AE95 AN95 AP95 AC105 AE105 AN105 AP105 AC115 AE115 AN115 AP115 AC125 AE125 AN125 AP125 AC133 AE133 AN133 AP133 AC141 AE141 AN141 AP141 AC151 AE151 AN151 AP151 AY7 BA7 AY47 BA47 AY55 BA55 AY65 BA65 AY75 BA75 AY85 BA85 AY95 BA95 AY105 BA105 AY115 BA115 AY125 BA125 AY133 BA133 AY141 BA141 AY151 BA151 BJ7 BL7 BJ47 BL47 BJ55 BL55 BJ65 BL65 BJ75 BL75 BJ85 BL85 BJ95 BL95 BJ105 BL105 BJ115 BL115 BJ125 BL125 BJ133 BL133 BJ141 BL141 BJ151 BL151 BU7 BW7 BU47 BW47 BU55 BW55 BU65 BW65 BU75 BW75 BU85 BW85 BU95 BW95 BU105 BW105 BU115 BW115 BU125 BW125 BU133 BW133 BU141 BW141 BU151 BW151 CF7 CH7 CF47 CH47 CF55 CH55 CF65 CH65 CF75 CH75 CF85 CH85 CF95 CH95 CF105 CH105 CF115 CH115 CF125 CH125 CF133 CH133 CF141 CH141 CF151 CH151 CQ7 CS7 CQ47 CS47 CQ55 CS55 CQ65 CS65 CQ75 CS75 CQ85 CS85 CQ95 CS95 CQ105 CS105 CQ115 CS115 CQ125 CS125 CQ133 CS133 CQ141 CS141 CQ151 CS151 DB7 DD7 DB47 DD47 DB55 DD55 DB65 DD65 DB75 DD75 DB85 DD85 DB95 DD95 DB105 DD105 DB115 DD115 DB125 DD125 DB133 DD133 DB141 DD141 DB151 DD151 DM7 DO7 DM47 DO47 DM55 DO55 DM65 DO65 DM75 DO75 DM85 DO85 DM95 DO95 DM105 DO105 DM115 DO115 DM125 DO125 DM133 DO133 DM141 DO141 DM151 DO151 DX7 DZ7 DX47 DZ47 DX55 DZ55 DX65 DZ65 DX75 DZ75 DX85 DZ85 DX95 DZ95 DX105 DZ105 DX115 DZ115 DX125 DZ125 DX133 DZ133 DX141 DZ141 DX151 DZ151 EI7 EK7 EI47 EK47 EI55 EK55 EI65 EK65 EI75 EK75 EI85 EK85 EI95 EK95 EI105 EK105 EI115 EK115 EI125 EK125 EI133 EK133 EI141 EK141 EI151 EK151 AC163 AE163 AN163 AP163 AY163 BA163 BJ163 BL163 BU163 BW163 CF163 CH163 CQ163 CS163 DB163 DD163 DM163 DO163 DX163 DZ163 EI163 EK163 AC171 AE171 AN171 AP171 AY171 BA171 BJ171 BL171 BU171 BW171 CF171 CH171 CQ171 CS171 DB171 DD171 DM171 DO171 DX171 DZ171 EI171 EK171 AC181 AE181 AN181 AP181 AY181 BA181 BJ181 BL181 BU181 BW181 CF181 CH181 CQ181 CS181 DB181 DD181 DM181 DO181 DX181 DZ181 EI181 EK181 AC191 AE191 AN191 AP191 AY191 BA191 BJ191 BL191 BU191 BW191 CF191 CH191 CQ191 CS191 DB191 DD191 DM191 DO191 DX191 DZ191 EI191 EK191 AC201 AE201 AN201 AP201 AY201 BA201 BJ201 BL201 BU201 BW201 CF201 CH201 CQ201 CS201 DB201 DD201 DM201 DO201 DX201 DZ201 EI201 EK201 AC211 AE211 AN211 AP211 AY211 BA211 BJ211 BL211 BU211 BW211 CF211 CH211 CQ211 CS211 DB211 DD211 DM211 DO211 DX211 DZ211 EI211 EK211 AC221 AE221 AN221 AP221 AY221 BA221 BJ221 BL221 BU221 BW221 CF221 CH221 CQ221 CS221 DB221 DD221 DM221 DO221 DX221 DZ221 EI221 EK221 AC231 AE231 AN231 AP231 AY231 BA231 BJ231 BL231 BU231 BW231 CF231 CH231 CQ231 CS231 DB231 DD231 DM231 DO231 DX231 DZ231 EI231 EK231 AC241 AE241 AN241 AP241 AY241 BA241 BJ241 BL241 BU241 BW241 CF241 CH241 CQ241 CS241 DB241 DD241 DM241 DO241 DX241 DZ241 EI241 EK241 AC251 AE251 AN251 AP251 AY251 BA251 BJ251 BL251 BU251 BW251 CF251 CH251 CQ251 CS251 DB251 DD251 DM251 DO251 DX251 DZ251 EI251 EK251 AC263 AE263 AN263 AP263 AY263 BA263 BJ263 BL263 BU263 BW263 CF263 CH263 CQ263 CS263 DB263 DD263 DM263 DO263 DX263 DZ263 EI263 EK263 AC271 AE271 AN271 AP271 AY271 BA271 BJ271 BL271 BU271 BW271 CF271 CH271 CQ271 CS271 DB271 DD271 DM271 DO271 DX271 DZ271 EI271 EK271 AC281 AE281 AN281 AP281 AY281 BA281 BJ281 BL281 BU281 BW281 CF281 CH281 CQ281 CS281 DB281 DD281 DM281 DO281 DX281 DZ281 EI281 EK281 AC291 AE291 AN291 AP291 AY291 BA291 BJ291 BL291 BU291 BW291 CF291 CH291 CQ291 CS291 DB291 DD291 DM291 DO291 DX291 DZ291 EI291 EK291 AC301 AE301 AN301 AP301 AY301 BA301 BJ301 BL301 BU301 BW301 CF301 CH301 CQ301 CS301 DB301 DD301 DM301 DO301 DX301 DZ301 EI301 EK301 AC311 AE311 AN311 AP311 AY311 BA311 BJ311 BL311 BU311 BW311 CF311 CH311 CQ311 CS311 DB311 DD311 DM311 DO311 DX311 DZ311 EI311 EK311 AC321 AE321 AN321 AP321 AY321 BA321 BJ321 BL321 BU321 BW321 CF321 CH321 CQ321 CS321 DB321 DD321 DM321 DO321 DX321 DZ321 EI321 EK321 AC331 AE331 AN331 AP331 AY331 BA331 BJ331 BL331 BU331 BW331 CF331 CH331 CQ331 CS331 DB331 DD331 DM331 DO331 DX331 DZ331 EI331 EK331 AC341 AE341 AN341 AP341 AY341 BA341 BJ341 BL341 BU341 BW341 CF341 CH341 CQ341 CS341 DB341 DD341 DM341 DO341 DX341 DZ341 EI341 EK341 AC351 AE351 AN351 AP351 AY351 BA351 BJ351 BL351 BU351 BW351 CF351 CH351 CQ351 CS351 DB351 DD351 DM351 DO351 DX351 DZ351 EI351 EK351 ET7 EV7 ET47 EV47 ET55 EV55 ET65 EV65 ET75 EV75 ET85 EV85 ET95 EV95 ET105 EV105 ET115 EV115 ET125 EV125 ET133 EV133 ET141 EV141 ET151 EV151 ET163 EV163 ET171 EV171 ET181 EV181 ET191 EV191 ET201 EV201 ET211 EV211 ET221 EV221 ET231 EV231 ET241 EV241 ET251 EV251 ET263 EV263 ET271 EV271 ET281 EV281 ET291 EV291 ET301 EV301 ET311 EV311 ET321 EV321 ET331 EV331 ET341 EV341 ET351 EV351"/>
    <dataValidation allowBlank="1" showInputMessage="1" showErrorMessage="1" prompt="Для выбора выполните двойной щелчок левой клавиши мыши по соответствующей ячейке." sqref="AD65883 AD131419 AD196955 AD262491 AD328027 AD393563 AD459099 AD524635 AD590171 AD655707 AD721243 AD786779 AD852315 AD917851 AD983387 AF131419 AF459099 AF196955 AF262491 AF328027 AF393563 AF524635 AF590171 AF655707 AF721243 AF786779 AF852315 AF917851 AF983387 AF65883 AO65883 AO131419 AO196955 AO262491 AO328027 AO393563 AO459099 AO524635 AO590171 AO655707 AO721243 AO786779 AO852315 AO917851 AO983387 AQ524635:EW524635 AQ196955:EW196955 AQ590171:EW590171 AQ655707:EW655707 AQ15 AQ721243:EW721243 AQ786779:EW786779 AQ852315:EW852315 AQ917851:EW917851 AQ983387:EW983387 AQ65883:EW65883 AQ131419:EW131419 AQ459099:EW459099 AQ262491:EW262491 AQ7 AZ7 BB7 BK7 BM7 BV7 BX7 CG7 CI7 CR7 CT7 DC7 DE7 DN7 DP7 DY7 EA7 EJ7 EL7 EU7 EW7 AO47 AQ328027:EW328027 AO15 AO7 AD7 AF7 AQ393563:EW393563 AQ47 AZ47 BB47 BK47 BM47 BV47 BX47 CG47 CI47 CR47 CT47 DC47 DE47 DN47 DP47 DY47 EA47 EJ47 EL47 EU47 EW47 AD47 AF47 AD55 AF55 AO55 AQ55 AZ55 BB55 BK55 BM55 BV55 BX55 CG55 CI55 CR55 CT55 DC55 DE55 DN55 DP55 DY55 EA55 EJ55 EL55 EU55 EW55 AD65 AF65 AO65 AQ65 AZ65 BB65 BK65 BM65 BV65 BX65 CG65 CI65 CR65 CT65 DC65 DE65 DN65 DP65 DY65 EA65 EJ65 EL65 EU65 EW65 AD75 AF75 AO75 AQ75 AZ75 BB75 BK75 BM75 BV75 BX75 CG75 CI75 CR75 CT75 DC75 DE75 DN75 DP75 DY75 EA75 EJ75 EL75 EU75 EW75 AD85 AF85 AO85 AQ85 AZ85 BB85 BK85 BM85 BV85 BX85 CG85 CI85 CR85 CT85 DC85 DE85 DN85 DP85 DY85 EA85 EJ85 EL85 EU85 EW85 AD95 AF95 AO95 AQ95 AZ95 BB95 BK95 BM95 BV95 BX95 CG95 CI95 CR95 CT95 DC95 DE95 DN95 DP95 DY95 EA95 EJ95 EL95 EU95 EW95 AD105 AF105 AO105 AQ105 AZ105 BB105 BK105 BM105 BV105 BX105 CG105 CI105 CR105 CT105 DC105 DE105 DN105 DP105 DY105 EA105 EJ105 EL105 EU105 EW105 AD115 AF115 AO115 AQ115 AZ115 BB115 BK115 BM115 BV115 BX115 CG115 CI115 CR115 CT115 DC115 DE115 DN115 DP115 DY115 EA115 EJ115 EL115 EU115 EW115 AD125 AF125 AO125 AQ125 AZ125 BB125 BK125 BM125 BV125 BX125 CG125 CI125 CR125 CT125 DC125 DE125 DN125 DP125 DY125 EA125 EJ125 EL125 EU125 EW125 AD133 AF133 AO133 AQ133 AZ133 BB133 BK133 BM133 BV133 BX133 CG133 CI133 CR133 CT133 DC133 DE133 DN133 DP133 DY133 EA133 EJ133 EL133 EU133 EW133 AD141 AF141 AO141 AQ141 AZ141 BB141 BK141 BM141 BV141 BX141 CG141 CI141 CR141 CT141 DC141 DE141 DN141 DP141 DY141 EA141 EJ141 EL141 EU141 EW141 AD151 AF151 AO151 AQ151 AZ151 BB151 BK151 BM151 BV151 BX151 CG151 CI151 CR151 CT151 DC151 DE151 DN151 DP151 DY151 EA151 EJ151 EL151 EU151 EW151 AD163 AF163 AO163 AQ163 AZ163 BB163 BK163 BM163 BV163 BX163 CG163 CI163 CR163 CT163 DC163 DE163 DN163 DP163 DY163 EA163 EJ163 EL163 EU163 EW163 AD171 AF171 AO171 AQ171 AZ171 BB171 BK171 BM171 BV171 BX171 CG171 CI171 CR171 CT171 DC171 DE171 DN171 DP171 DY171 EA171 EJ171 EL171 EU171 EW171 AD181 AF181 AO181 AQ181 AZ181 BB181 BK181 BM181 BV181 BX181 CG181 CI181 CR181 CT181 DC181 DE181 DN181 DP181 DY181 EA181 EJ181 EL181 EU181 EW181 AD191 AF191 AO191 AQ191 AZ191 BB191 BK191 BM191 BV191 BX191 CG191 CI191 CR191 CT191 DC191 DE191 DN191 DP191 DY191 EA191 EJ191 EL191 EU191 EW191 AD201 AF201 AO201 AQ201 AZ201 BB201 BK201 BM201 BV201 BX201 CG201 CI201 CR201 CT201 DC201 DE201 DN201 DP201 DY201 EA201 EJ201 EL201 EU201 EW201 AD211 AF211 AO211 AQ211 AZ211 BB211 BK211 BM211 BV211 BX211 CG211 CI211 CR211 CT211 DC211 DE211 DN211 DP211 DY211 EA211 EJ211 EL211 EU211 EW211 AD221 AF221 AO221 AQ221 AZ221 BB221 BK221 BM221 BV221 BX221 CG221 CI221 CR221 CT221 DC221 DE221 DN221 DP221 DY221 EA221 EJ221 EL221 EU221 EW221 AD231 AF231 AO231 AQ231 AZ231 BB231 BK231 BM231 BV231 BX231 CG231 CI231 CR231 CT231 DC231 DE231 DN231 DP231 DY231 EA231 EJ231 EL231 EU231 EW231 AD241 AF241 AO241 AQ241 AZ241 BB241 BK241 BM241 BV241 BX241 CG241 CI241 CR241 CT241 DC241 DE241 DN241 DP241 DY241 EA241 EJ241 EL241 EU241 EW241 AD251 AF251 AO251 AQ251 AZ251 BB251 BK251 BM251 BV251 BX251 CG251 CI251 CR251 CT251 DC251 DE251 DN251 DP251 DY251 EA251 EJ251 EL251 EU251 EW251 AD263 AF263 AO263 AQ263 AZ263 BB263 BK263 BM263 BV263 BX263 CG263 CI263 CR263 CT263 DC263 DE263 DN263 DP263 DY263 EA263 EJ263 EL263 EU263 EW263 AD271 AF271 AO271 AQ271 AZ271 BB271 BK271 BM271 BV271 BX271 CG271 CI271 CR271 CT271 DC271 DE271 DN271 DP271 DY271 EA271 EJ271 EL271 EU271 EW271 AD281 AF281 AO281 AQ281 AZ281 BB281 BK281 BM281 BV281 BX281 CG281 CI281 CR281 CT281 DC281 DE281 DN281 DP281 DY281 EA281 EJ281 EL281 EU281 EW281 AD291 AF291 AO291 AQ291 AZ291 BB291 BK291 BM291 BV291 BX291 CG291 CI291 CR291 CT291 DC291 DE291 DN291 DP291 DY291 EA291 EJ291 EL291 EU291 EW291 AD301 AF301 AO301 AQ301 AZ301 BB301 BK301 BM301 BV301 BX301 CG301 CI301 CR301 CT301 DC301 DE301 DN301 DP301 DY301 EA301 EJ301 EL301 EU301 EW301 AD311 AF311 AO311 AQ311 AZ311 BB311 BK311 BM311 BV311 BX311 CG311 CI311 CR311 CT311 DC311 DE311 DN311 DP311 DY311 EA311 EJ311 EL311 EU311 EW311 AD321 AF321 AO321 AQ321 AZ321 BB321 BK321 BM321 BV321 BX321 CG321 CI321 CR321 CT321 DC321 DE321 DN321 DP321 DY321 EA321 EJ321 EL321 EU321 EW321 AD331 AF331 AO331 AQ331 AZ331 BB331 BK331 BM331 BV331 BX331 CG331 CI331 CR331 CT331 DC331 DE331 DN331 DP331 DY331 EA331 EJ331 EL331 EU331 EW331 AD341 AF341 AO341 AQ341 AZ341 BB341 BK341 BM341 BV341 BX341 CG341 CI341 CR341 CT341 DC341 DE341 DN341 DP341 DY341 EA341 EJ341 EL341 EU341 EW341 AD351 AF351 AO351 AQ351 AZ351 BB351 BK351 BM351 BV351 BX351 CG351 CI351 CR351 CT351 DC351 DE351 DN351 DP351 DY351 EA351 EJ351 EL351 EU351 EW3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4.140625" style="14419" hidden="1" customWidth="1"/>
    <col min="10" max="10" width="9.85546875" style="14419" hidden="1" customWidth="1"/>
    <col min="11" max="11" width="14.7109375" style="14419" hidden="1" customWidth="1"/>
    <col min="12" max="12" width="19.140625" style="14445" hidden="1" customWidth="1"/>
    <col min="13" max="14" width="12.28515625" style="14423" hidden="1" customWidth="1"/>
    <col min="15" max="15" width="23.42578125" style="14423" hidden="1" customWidth="1"/>
    <col min="16" max="16" width="3.7109375" style="14446" customWidth="1"/>
    <col min="17" max="18" width="3.7109375" style="14425" customWidth="1"/>
    <col min="19" max="19" width="12.7109375" style="14426" customWidth="1"/>
    <col min="20" max="20" width="35.7109375" style="14427" customWidth="1"/>
    <col min="21" max="21" width="0.140625" style="14427" customWidth="1"/>
    <col min="22" max="22" width="19.7109375" style="14427" hidden="1" customWidth="1"/>
    <col min="23" max="27" width="19.7109375" style="14433" hidden="1" customWidth="1"/>
    <col min="28" max="28" width="19.7109375" style="14427" hidden="1" customWidth="1"/>
    <col min="29" max="29" width="11.7109375" style="14427" hidden="1" customWidth="1"/>
    <col min="30" max="30" width="3.7109375" style="14427" hidden="1" customWidth="1"/>
    <col min="31" max="31" width="11.7109375" style="14427" hidden="1" customWidth="1"/>
    <col min="32" max="32" width="8.5703125" style="14427" hidden="1" customWidth="1"/>
    <col min="33" max="33" width="19.7109375" style="14427" customWidth="1"/>
    <col min="34" max="38" width="19.7109375" style="14433" customWidth="1"/>
    <col min="39" max="39" width="19.7109375" style="14427" customWidth="1"/>
    <col min="40" max="40" width="11.7109375" style="14427" customWidth="1"/>
    <col min="41" max="41" width="3.7109375" style="14427" customWidth="1"/>
    <col min="42" max="42" width="11.7109375" style="14427" customWidth="1"/>
    <col min="43" max="43" width="8.5703125" style="14427" hidden="1" customWidth="1"/>
    <col min="44" max="44" width="4.7109375" style="14427" customWidth="1"/>
    <col min="45" max="45" width="115.7109375" style="14427" customWidth="1"/>
    <col min="46" max="47" width="10.5703125" style="14421"/>
    <col min="48" max="48" width="11.140625" style="14421" customWidth="1"/>
    <col min="49" max="50" width="10.5703125" style="14421"/>
  </cols>
  <sheetData>
    <row r="1" spans="1:50" ht="14.25" hidden="1" customHeight="1">
      <c r="AB1" s="244"/>
      <c r="AC1" s="244"/>
      <c r="AM1" s="244"/>
      <c r="AN1" s="244"/>
    </row>
    <row r="2" spans="1:50" ht="23.25" hidden="1" customHeight="1">
      <c r="A2" s="1240"/>
      <c r="B2" s="1240"/>
      <c r="C2" s="1240"/>
      <c r="D2" s="1240"/>
      <c r="E2" s="16124">
        <v>1</v>
      </c>
      <c r="F2" s="1240"/>
      <c r="G2" s="1240"/>
      <c r="H2" s="1240"/>
      <c r="I2" s="1240"/>
      <c r="J2" s="1240"/>
      <c r="K2" s="1240"/>
      <c r="L2" s="1241"/>
      <c r="M2" s="1242"/>
      <c r="N2" s="1242"/>
      <c r="O2" s="1242"/>
      <c r="P2" s="277"/>
      <c r="Q2" s="276"/>
      <c r="R2" s="271"/>
      <c r="S2" s="1364" t="e">
        <f>INDEX(PT_DIFFERENTIATION_NUM_NTAR,MATCH(A2,PT_DIFFERENTIATION_NTAR_ID,0))</f>
        <v>#N/A</v>
      </c>
      <c r="T2" s="215" t="s">
        <v>158</v>
      </c>
      <c r="U2" s="217"/>
      <c r="V2" s="16110"/>
      <c r="W2" s="16111"/>
      <c r="X2" s="16111"/>
      <c r="Y2" s="16111"/>
      <c r="Z2" s="16111"/>
      <c r="AA2" s="16111"/>
      <c r="AB2" s="16111"/>
      <c r="AC2" s="16111"/>
      <c r="AD2" s="16111"/>
      <c r="AE2" s="16111"/>
      <c r="AF2" s="16112"/>
      <c r="AG2" s="16110" t="e">
        <f>INDEX(PT_DIFFERENTIATION_NTAR,MATCH(A2,PT_DIFFERENTIATION_NTAR_ID,0))</f>
        <v>#N/A</v>
      </c>
      <c r="AH2" s="16111"/>
      <c r="AI2" s="16111"/>
      <c r="AJ2" s="16111"/>
      <c r="AK2" s="16111"/>
      <c r="AL2" s="16111"/>
      <c r="AM2" s="16111"/>
      <c r="AN2" s="16111"/>
      <c r="AO2" s="16111"/>
      <c r="AP2" s="16111"/>
      <c r="AQ2" s="16111"/>
      <c r="AR2" s="16112"/>
      <c r="AS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07"/>
      <c r="AV2" s="407" t="str">
        <f t="shared" ref="AV2:AV13" si="0">IF(T2="","",T2)</f>
        <v>Наименование тарифа</v>
      </c>
      <c r="AW2" s="407"/>
      <c r="AX2" s="407"/>
    </row>
    <row r="3" spans="1:50" ht="23.25" hidden="1" customHeight="1">
      <c r="A3" s="1240"/>
      <c r="B3" s="1240"/>
      <c r="C3" s="1240"/>
      <c r="D3" s="1240"/>
      <c r="E3" s="16125"/>
      <c r="F3" s="16124">
        <v>1</v>
      </c>
      <c r="G3" s="1240"/>
      <c r="H3" s="1240"/>
      <c r="I3" s="1240"/>
      <c r="J3" s="1240"/>
      <c r="K3" s="1240"/>
      <c r="L3" s="1241"/>
      <c r="M3" s="1242"/>
      <c r="N3" s="1242"/>
      <c r="O3" s="1242"/>
      <c r="P3" s="1358"/>
      <c r="Q3" s="268"/>
      <c r="R3" s="269"/>
      <c r="S3" s="1364" t="e">
        <f>INDEX(PT_DIFFERENTIATION_NUM_TER,MATCH(B3,PT_DIFFERENTIATION_TER_ID,0))</f>
        <v>#N/A</v>
      </c>
      <c r="T3" s="225" t="s">
        <v>534</v>
      </c>
      <c r="U3" s="217"/>
      <c r="V3" s="16110"/>
      <c r="W3" s="16111"/>
      <c r="X3" s="16111"/>
      <c r="Y3" s="16111"/>
      <c r="Z3" s="16111"/>
      <c r="AA3" s="16111"/>
      <c r="AB3" s="16111"/>
      <c r="AC3" s="16111"/>
      <c r="AD3" s="16111"/>
      <c r="AE3" s="16111"/>
      <c r="AF3" s="16112"/>
      <c r="AG3" s="16110" t="e">
        <f>INDEX(PT_DIFFERENTIATION_TER,MATCH(B3,PT_DIFFERENTIATION_TER_ID,0))</f>
        <v>#N/A</v>
      </c>
      <c r="AH3" s="16111"/>
      <c r="AI3" s="16111"/>
      <c r="AJ3" s="16111"/>
      <c r="AK3" s="16111"/>
      <c r="AL3" s="16111"/>
      <c r="AM3" s="16111"/>
      <c r="AN3" s="16111"/>
      <c r="AO3" s="16111"/>
      <c r="AP3" s="16111"/>
      <c r="AQ3" s="16111"/>
      <c r="AR3" s="16112"/>
      <c r="AS3" s="1140" t="s">
        <v>535</v>
      </c>
      <c r="AU3" s="407"/>
      <c r="AV3" s="407" t="str">
        <f t="shared" si="0"/>
        <v>Территория действия тарифа</v>
      </c>
      <c r="AW3" s="407"/>
      <c r="AX3" s="407"/>
    </row>
    <row r="4" spans="1:50" ht="23.25" hidden="1" customHeight="1">
      <c r="A4" s="1240"/>
      <c r="B4" s="1240"/>
      <c r="C4" s="1240"/>
      <c r="D4" s="1240"/>
      <c r="E4" s="16125"/>
      <c r="F4" s="16125"/>
      <c r="G4" s="16124">
        <v>1</v>
      </c>
      <c r="H4" s="1240"/>
      <c r="I4" s="1240"/>
      <c r="J4" s="1240"/>
      <c r="K4" s="1240"/>
      <c r="L4" s="1241"/>
      <c r="M4" s="1242"/>
      <c r="N4" s="1242"/>
      <c r="O4" s="1242"/>
      <c r="P4" s="270"/>
      <c r="Q4" s="268"/>
      <c r="R4" s="269"/>
      <c r="S4" s="1364" t="e">
        <f>INDEX(PT_DIFFERENTIATION_NUM_CS,MATCH(C4,PT_DIFFERENTIATION_CS_ID,0))</f>
        <v>#N/A</v>
      </c>
      <c r="T4" s="226" t="s">
        <v>665</v>
      </c>
      <c r="U4" s="217"/>
      <c r="V4" s="16110"/>
      <c r="W4" s="16111"/>
      <c r="X4" s="16111"/>
      <c r="Y4" s="16111"/>
      <c r="Z4" s="16111"/>
      <c r="AA4" s="16111"/>
      <c r="AB4" s="16111"/>
      <c r="AC4" s="16111"/>
      <c r="AD4" s="16111"/>
      <c r="AE4" s="16111"/>
      <c r="AF4" s="16112"/>
      <c r="AG4" s="16110" t="e">
        <f>INDEX(PT_DIFFERENTIATION_CS,MATCH(C4,PT_DIFFERENTIATION_CS_ID,0))</f>
        <v>#N/A</v>
      </c>
      <c r="AH4" s="16111"/>
      <c r="AI4" s="16111"/>
      <c r="AJ4" s="16111"/>
      <c r="AK4" s="16111"/>
      <c r="AL4" s="16111"/>
      <c r="AM4" s="16111"/>
      <c r="AN4" s="16111"/>
      <c r="AO4" s="16111"/>
      <c r="AP4" s="16111"/>
      <c r="AQ4" s="16111"/>
      <c r="AR4" s="16112"/>
      <c r="AS4" s="1140" t="s">
        <v>666</v>
      </c>
      <c r="AU4" s="407"/>
      <c r="AV4" s="407" t="str">
        <f t="shared" si="0"/>
        <v>Наименование централизованной системы горячего водоснабжения</v>
      </c>
      <c r="AW4" s="407"/>
      <c r="AX4" s="407"/>
    </row>
    <row r="5" spans="1:50" ht="23.25" hidden="1" customHeight="1">
      <c r="A5" s="1240"/>
      <c r="B5" s="1240"/>
      <c r="C5" s="1240"/>
      <c r="D5" s="1240"/>
      <c r="E5" s="16125"/>
      <c r="F5" s="16125"/>
      <c r="G5" s="16125"/>
      <c r="H5" s="16125"/>
      <c r="I5" s="16122" t="e">
        <f>S4&amp;".1"</f>
        <v>#N/A</v>
      </c>
      <c r="J5" s="1240"/>
      <c r="K5" s="1240"/>
      <c r="L5" s="1241"/>
      <c r="P5" s="16123">
        <v>1</v>
      </c>
      <c r="Q5" s="1352"/>
      <c r="R5" s="272"/>
      <c r="S5" s="1364" t="e">
        <f>$I5</f>
        <v>#N/A</v>
      </c>
      <c r="T5" s="202" t="s">
        <v>618</v>
      </c>
      <c r="U5" s="217"/>
      <c r="V5" s="16183"/>
      <c r="W5" s="16184"/>
      <c r="X5" s="16184"/>
      <c r="Y5" s="16184"/>
      <c r="Z5" s="16184"/>
      <c r="AA5" s="16184"/>
      <c r="AB5" s="16184"/>
      <c r="AC5" s="16184"/>
      <c r="AD5" s="16184"/>
      <c r="AE5" s="16184"/>
      <c r="AF5" s="16185"/>
      <c r="AG5" s="16186"/>
      <c r="AH5" s="16187"/>
      <c r="AI5" s="16187"/>
      <c r="AJ5" s="16187"/>
      <c r="AK5" s="16187"/>
      <c r="AL5" s="16187"/>
      <c r="AM5" s="16187"/>
      <c r="AN5" s="16187"/>
      <c r="AO5" s="16187"/>
      <c r="AP5" s="16187"/>
      <c r="AQ5" s="16187"/>
      <c r="AR5" s="16188"/>
      <c r="AS5" s="1140" t="s">
        <v>619</v>
      </c>
      <c r="AU5" s="407"/>
      <c r="AV5" s="407" t="str">
        <f t="shared" si="0"/>
        <v>Наименование признака дифференциации</v>
      </c>
      <c r="AW5" s="407"/>
      <c r="AX5" s="407"/>
    </row>
    <row r="6" spans="1:50" ht="23.25" hidden="1" customHeight="1">
      <c r="A6" s="1240"/>
      <c r="B6" s="1240"/>
      <c r="C6" s="1240"/>
      <c r="D6" s="1240"/>
      <c r="E6" s="16125"/>
      <c r="F6" s="16125"/>
      <c r="G6" s="16125"/>
      <c r="H6" s="16125"/>
      <c r="I6" s="16145"/>
      <c r="J6" s="16122" t="e">
        <f>I5&amp;".1"</f>
        <v>#N/A</v>
      </c>
      <c r="K6" s="1240"/>
      <c r="L6" s="1241" t="s">
        <v>543</v>
      </c>
      <c r="P6" s="16123"/>
      <c r="Q6" s="16123">
        <v>1</v>
      </c>
      <c r="R6" s="273"/>
      <c r="S6" s="1364" t="e">
        <f>$J6</f>
        <v>#N/A</v>
      </c>
      <c r="T6" s="203" t="s">
        <v>544</v>
      </c>
      <c r="U6" s="217"/>
      <c r="V6" s="16113"/>
      <c r="W6" s="16114"/>
      <c r="X6" s="16114"/>
      <c r="Y6" s="16114"/>
      <c r="Z6" s="16114"/>
      <c r="AA6" s="16114"/>
      <c r="AB6" s="16114"/>
      <c r="AC6" s="16114"/>
      <c r="AD6" s="16114"/>
      <c r="AE6" s="16114"/>
      <c r="AF6" s="16115"/>
      <c r="AG6" s="16113"/>
      <c r="AH6" s="16114"/>
      <c r="AI6" s="16114"/>
      <c r="AJ6" s="16114"/>
      <c r="AK6" s="16114"/>
      <c r="AL6" s="16114"/>
      <c r="AM6" s="16114"/>
      <c r="AN6" s="16114"/>
      <c r="AO6" s="16114"/>
      <c r="AP6" s="16114"/>
      <c r="AQ6" s="16114"/>
      <c r="AR6" s="16115"/>
      <c r="AS6" s="1187" t="s">
        <v>620</v>
      </c>
      <c r="AU6" s="407"/>
      <c r="AV6" s="407" t="str">
        <f t="shared" si="0"/>
        <v>Группа потребителей</v>
      </c>
      <c r="AW6" s="407"/>
      <c r="AX6" s="407"/>
    </row>
    <row r="7" spans="1:50" ht="23.25" hidden="1" customHeight="1">
      <c r="A7" s="1240"/>
      <c r="B7" s="1240"/>
      <c r="C7" s="1240"/>
      <c r="D7" s="1240"/>
      <c r="E7" s="16125"/>
      <c r="F7" s="16125"/>
      <c r="G7" s="16125"/>
      <c r="H7" s="16125"/>
      <c r="I7" s="16145"/>
      <c r="J7" s="16145"/>
      <c r="K7" s="16122" t="e">
        <f>J6&amp;".1"</f>
        <v>#N/A</v>
      </c>
      <c r="L7" s="1241"/>
      <c r="P7" s="16123"/>
      <c r="Q7" s="16123"/>
      <c r="R7" s="273">
        <v>1</v>
      </c>
      <c r="S7" s="1364" t="e">
        <f>$K7</f>
        <v>#N/A</v>
      </c>
      <c r="T7" s="1313"/>
      <c r="U7" s="217"/>
      <c r="V7" s="649"/>
      <c r="W7" s="649"/>
      <c r="X7" s="649"/>
      <c r="Y7" s="649"/>
      <c r="Z7" s="649"/>
      <c r="AA7" s="649"/>
      <c r="AB7" s="1139"/>
      <c r="AC7" s="16127"/>
      <c r="AD7" s="15973" t="s">
        <v>66</v>
      </c>
      <c r="AE7" s="16127"/>
      <c r="AF7" s="15973" t="s">
        <v>66</v>
      </c>
      <c r="AG7" s="649"/>
      <c r="AH7" s="649"/>
      <c r="AI7" s="649"/>
      <c r="AJ7" s="649"/>
      <c r="AK7" s="649"/>
      <c r="AL7" s="649"/>
      <c r="AM7" s="1139"/>
      <c r="AN7" s="16127"/>
      <c r="AO7" s="15973" t="s">
        <v>66</v>
      </c>
      <c r="AP7" s="16146"/>
      <c r="AQ7" s="15973" t="s">
        <v>66</v>
      </c>
      <c r="AR7" s="1314"/>
      <c r="AS7"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8" t="e">
        <f ca="1">STRCHECKDATE(V8:AR8)</f>
        <v>#NAME?</v>
      </c>
      <c r="AU7" s="407"/>
      <c r="AV7" s="407" t="str">
        <f t="shared" si="0"/>
        <v/>
      </c>
      <c r="AW7" s="407"/>
      <c r="AX7" s="407"/>
    </row>
    <row r="8" spans="1:50" ht="14.25" hidden="1" customHeight="1">
      <c r="A8" s="1240"/>
      <c r="B8" s="1240"/>
      <c r="C8" s="1240"/>
      <c r="D8" s="1240"/>
      <c r="E8" s="16125"/>
      <c r="F8" s="16125"/>
      <c r="G8" s="16125"/>
      <c r="H8" s="16125"/>
      <c r="I8" s="16145"/>
      <c r="J8" s="16145"/>
      <c r="K8" s="16122"/>
      <c r="L8" s="1241"/>
      <c r="P8" s="16123"/>
      <c r="Q8" s="16123"/>
      <c r="R8" s="273"/>
      <c r="S8" s="1361"/>
      <c r="T8" s="217"/>
      <c r="U8" s="217"/>
      <c r="V8" s="242"/>
      <c r="W8" s="242"/>
      <c r="X8" s="242"/>
      <c r="Y8" s="242"/>
      <c r="Z8" s="242"/>
      <c r="AA8" s="242"/>
      <c r="AB8" s="245" t="str">
        <f>AC7&amp;"-"&amp;AE7</f>
        <v>-</v>
      </c>
      <c r="AC8" s="16128"/>
      <c r="AD8" s="15973"/>
      <c r="AE8" s="16128"/>
      <c r="AF8" s="15973"/>
      <c r="AG8" s="242"/>
      <c r="AH8" s="242"/>
      <c r="AI8" s="242"/>
      <c r="AJ8" s="242"/>
      <c r="AK8" s="242"/>
      <c r="AL8" s="242"/>
      <c r="AM8" s="245" t="str">
        <f>AN7&amp;"-"&amp;AP7</f>
        <v>-</v>
      </c>
      <c r="AN8" s="16128"/>
      <c r="AO8" s="15973"/>
      <c r="AP8" s="16147"/>
      <c r="AQ8" s="15973"/>
      <c r="AR8" s="1315"/>
      <c r="AS8" s="16182"/>
      <c r="AU8" s="407"/>
      <c r="AV8" s="407" t="str">
        <f t="shared" si="0"/>
        <v/>
      </c>
      <c r="AW8" s="407"/>
      <c r="AX8" s="407"/>
    </row>
    <row r="9" spans="1:50" ht="21" hidden="1" customHeight="1">
      <c r="A9" s="1240"/>
      <c r="B9" s="1240"/>
      <c r="C9" s="1240"/>
      <c r="D9" s="1240"/>
      <c r="E9" s="16125"/>
      <c r="F9" s="16125"/>
      <c r="G9" s="16125"/>
      <c r="H9" s="16125"/>
      <c r="I9" s="16145"/>
      <c r="J9" s="16122"/>
      <c r="K9" s="1240"/>
      <c r="L9" s="1241"/>
      <c r="P9" s="16123"/>
      <c r="Q9" s="16123"/>
      <c r="R9" s="272"/>
      <c r="S9" s="1160"/>
      <c r="T9" s="204" t="s">
        <v>621</v>
      </c>
      <c r="U9" s="282"/>
      <c r="V9" s="282"/>
      <c r="W9" s="503"/>
      <c r="X9" s="503"/>
      <c r="Y9" s="503"/>
      <c r="Z9" s="503"/>
      <c r="AA9" s="503"/>
      <c r="AB9" s="282"/>
      <c r="AC9" s="282"/>
      <c r="AD9" s="282"/>
      <c r="AE9" s="282"/>
      <c r="AF9" s="282"/>
      <c r="AG9" s="282"/>
      <c r="AH9" s="503"/>
      <c r="AI9" s="503"/>
      <c r="AJ9" s="503"/>
      <c r="AK9" s="503"/>
      <c r="AL9" s="503"/>
      <c r="AM9" s="282"/>
      <c r="AN9" s="282"/>
      <c r="AO9" s="282"/>
      <c r="AP9" s="282"/>
      <c r="AQ9" s="282"/>
      <c r="AR9" s="282"/>
      <c r="AS9" s="1140" t="s">
        <v>622</v>
      </c>
      <c r="AU9" s="407"/>
      <c r="AV9" s="407" t="str">
        <f t="shared" si="0"/>
        <v>Добавить значение признака дифференциации</v>
      </c>
      <c r="AW9" s="407"/>
      <c r="AX9" s="407"/>
    </row>
    <row r="10" spans="1:50" ht="21" hidden="1" customHeight="1">
      <c r="A10" s="1240"/>
      <c r="B10" s="1240"/>
      <c r="C10" s="1240"/>
      <c r="D10" s="1240"/>
      <c r="E10" s="16125"/>
      <c r="F10" s="16125"/>
      <c r="G10" s="16125"/>
      <c r="H10" s="16125"/>
      <c r="I10" s="16122"/>
      <c r="J10" s="1240"/>
      <c r="K10" s="1240"/>
      <c r="L10" s="1241"/>
      <c r="P10" s="16123"/>
      <c r="Q10" s="1352"/>
      <c r="R10" s="272"/>
      <c r="S10" s="1160"/>
      <c r="T10" s="280" t="s">
        <v>549</v>
      </c>
      <c r="U10" s="282"/>
      <c r="V10" s="282"/>
      <c r="W10" s="503"/>
      <c r="X10" s="503"/>
      <c r="Y10" s="503"/>
      <c r="Z10" s="503"/>
      <c r="AA10" s="503"/>
      <c r="AB10" s="282"/>
      <c r="AC10" s="282"/>
      <c r="AD10" s="282"/>
      <c r="AE10" s="282"/>
      <c r="AF10" s="281"/>
      <c r="AG10" s="282"/>
      <c r="AH10" s="503"/>
      <c r="AI10" s="503"/>
      <c r="AJ10" s="503"/>
      <c r="AK10" s="503"/>
      <c r="AL10" s="503"/>
      <c r="AM10" s="282"/>
      <c r="AN10" s="282"/>
      <c r="AO10" s="282"/>
      <c r="AP10" s="282"/>
      <c r="AQ10" s="281"/>
      <c r="AR10" s="282"/>
      <c r="AS10" s="1316"/>
      <c r="AU10" s="407"/>
      <c r="AV10" s="407" t="str">
        <f t="shared" si="0"/>
        <v>Добавить группу потребителей</v>
      </c>
      <c r="AW10" s="407"/>
      <c r="AX10" s="407"/>
    </row>
    <row r="11" spans="1:50" ht="21" hidden="1" customHeight="1">
      <c r="A11" s="1240"/>
      <c r="B11" s="1240"/>
      <c r="C11" s="1240"/>
      <c r="D11" s="1240"/>
      <c r="E11" s="16125"/>
      <c r="F11" s="16125"/>
      <c r="G11" s="16125"/>
      <c r="H11" s="16124"/>
      <c r="I11" s="1240"/>
      <c r="J11" s="1240"/>
      <c r="K11" s="1240"/>
      <c r="L11" s="1241"/>
      <c r="M11" s="1242"/>
      <c r="N11" s="1242"/>
      <c r="O11" s="443"/>
      <c r="P11" s="276"/>
      <c r="Q11" s="290"/>
      <c r="R11" s="271"/>
      <c r="S11" s="1160"/>
      <c r="T11" s="287" t="s">
        <v>623</v>
      </c>
      <c r="U11" s="282"/>
      <c r="V11" s="282"/>
      <c r="W11" s="503"/>
      <c r="X11" s="503"/>
      <c r="Y11" s="503"/>
      <c r="Z11" s="503"/>
      <c r="AA11" s="503"/>
      <c r="AB11" s="282"/>
      <c r="AC11" s="282"/>
      <c r="AD11" s="282"/>
      <c r="AE11" s="282"/>
      <c r="AF11" s="281"/>
      <c r="AG11" s="282"/>
      <c r="AH11" s="503"/>
      <c r="AI11" s="503"/>
      <c r="AJ11" s="503"/>
      <c r="AK11" s="503"/>
      <c r="AL11" s="503"/>
      <c r="AM11" s="282"/>
      <c r="AN11" s="282"/>
      <c r="AO11" s="282"/>
      <c r="AP11" s="282"/>
      <c r="AQ11" s="281"/>
      <c r="AR11" s="282"/>
      <c r="AS11" s="220"/>
      <c r="AU11" s="407"/>
      <c r="AV11" s="407" t="str">
        <f t="shared" si="0"/>
        <v>Добавить наименование признака дифференциации</v>
      </c>
      <c r="AW11" s="407"/>
      <c r="AX11" s="407"/>
    </row>
    <row r="12" spans="1:50" s="14418" customFormat="1" ht="14.25" hidden="1" customHeight="1">
      <c r="A12" s="1221"/>
      <c r="B12" s="1221"/>
      <c r="C12" s="1193"/>
      <c r="D12" s="1193"/>
      <c r="E12" s="16125"/>
      <c r="F12" s="16124"/>
      <c r="G12" s="1193"/>
      <c r="H12" s="1193"/>
      <c r="I12" s="1193"/>
      <c r="J12" s="1193"/>
      <c r="K12" s="1193"/>
      <c r="L12" s="1365"/>
      <c r="M12" s="1200"/>
      <c r="N12" s="1200"/>
      <c r="P12" s="1195"/>
      <c r="Q12" s="1196"/>
      <c r="R12" s="1195"/>
      <c r="S12" s="1201"/>
      <c r="T12" s="1204" t="s">
        <v>290</v>
      </c>
      <c r="U12" s="1203"/>
      <c r="V12" s="1203"/>
      <c r="W12" s="1203"/>
      <c r="X12" s="1203"/>
      <c r="Y12" s="1203"/>
      <c r="Z12" s="1203"/>
      <c r="AA12" s="1203"/>
      <c r="AB12" s="1203"/>
      <c r="AC12" s="1203"/>
      <c r="AD12" s="1203"/>
      <c r="AE12" s="1203"/>
      <c r="AF12" s="1203"/>
      <c r="AG12" s="1203"/>
      <c r="AH12" s="1203"/>
      <c r="AI12" s="1203"/>
      <c r="AJ12" s="1203"/>
      <c r="AK12" s="1203"/>
      <c r="AL12" s="1203"/>
      <c r="AM12" s="1203"/>
      <c r="AN12" s="1203"/>
      <c r="AO12" s="1203"/>
      <c r="AP12" s="1203"/>
      <c r="AQ12" s="1203"/>
      <c r="AR12" s="1203"/>
      <c r="AS12" s="1203"/>
      <c r="AU12" s="687"/>
      <c r="AV12" s="687" t="str">
        <f t="shared" si="0"/>
        <v>Добавить централизованную систему для дифференциации</v>
      </c>
      <c r="AW12" s="687"/>
      <c r="AX12" s="687"/>
    </row>
    <row r="13" spans="1:50" s="14421" customFormat="1" ht="14.25" hidden="1" customHeight="1">
      <c r="A13" s="1221"/>
      <c r="B13" s="1221"/>
      <c r="C13" s="1221"/>
      <c r="D13" s="1221"/>
      <c r="E13" s="16124"/>
      <c r="F13" s="1221"/>
      <c r="G13" s="1221"/>
      <c r="H13" s="1221"/>
      <c r="I13" s="1221"/>
      <c r="J13" s="1221"/>
      <c r="K13" s="1221"/>
      <c r="L13" s="1224"/>
      <c r="M13" s="1200"/>
      <c r="N13" s="1200"/>
      <c r="O13" s="425"/>
      <c r="P13" s="295"/>
      <c r="Q13" s="1222"/>
      <c r="R13" s="295"/>
      <c r="S13" s="1201"/>
      <c r="T13" s="1204" t="s">
        <v>326</v>
      </c>
      <c r="U13" s="1203"/>
      <c r="V13" s="1203"/>
      <c r="W13" s="1203"/>
      <c r="X13" s="1203"/>
      <c r="Y13" s="1203"/>
      <c r="Z13" s="1203"/>
      <c r="AA13" s="1203"/>
      <c r="AB13" s="1203"/>
      <c r="AC13" s="1203"/>
      <c r="AD13" s="1203"/>
      <c r="AE13" s="1203"/>
      <c r="AF13" s="1203"/>
      <c r="AG13" s="1203"/>
      <c r="AH13" s="1203"/>
      <c r="AI13" s="1203"/>
      <c r="AJ13" s="1203"/>
      <c r="AK13" s="1203"/>
      <c r="AL13" s="1203"/>
      <c r="AM13" s="1203"/>
      <c r="AN13" s="1203"/>
      <c r="AO13" s="1203"/>
      <c r="AP13" s="1203"/>
      <c r="AQ13" s="1203"/>
      <c r="AR13" s="1203"/>
      <c r="AS13" s="1203"/>
      <c r="AU13" s="407"/>
      <c r="AV13" s="407" t="str">
        <f t="shared" si="0"/>
        <v>Добавить территорию для дифференциации</v>
      </c>
      <c r="AW13" s="407"/>
      <c r="AX13" s="407"/>
    </row>
    <row r="14" spans="1:50" ht="14.25" hidden="1" customHeight="1">
      <c r="AF14" s="244"/>
      <c r="AQ14" s="244"/>
    </row>
    <row r="15" spans="1:50" ht="14.25" hidden="1" customHeight="1">
      <c r="AG15" s="1237"/>
      <c r="AH15" s="1237"/>
      <c r="AI15" s="1237"/>
      <c r="AJ15" s="1237"/>
      <c r="AK15" s="1237"/>
      <c r="AL15" s="1237"/>
      <c r="AM15" s="1238"/>
      <c r="AN15" s="16129"/>
      <c r="AO15" s="16130" t="s">
        <v>66</v>
      </c>
      <c r="AP15" s="16129"/>
      <c r="AQ15" s="16130" t="s">
        <v>66</v>
      </c>
    </row>
    <row r="16" spans="1:50" ht="14.25" hidden="1" customHeight="1">
      <c r="AG16" s="1237"/>
      <c r="AH16" s="1237"/>
      <c r="AI16" s="1237"/>
      <c r="AJ16" s="1237"/>
      <c r="AK16" s="1237"/>
      <c r="AL16" s="1237"/>
      <c r="AM16" s="245" t="str">
        <f>AN15&amp;"-"&amp;AP15</f>
        <v>-</v>
      </c>
      <c r="AN16" s="16130"/>
      <c r="AO16" s="16130"/>
      <c r="AP16" s="16130"/>
      <c r="AQ16" s="16130"/>
    </row>
    <row r="17" spans="1:50" ht="14.25" hidden="1" customHeight="1">
      <c r="AQ17" s="244"/>
    </row>
    <row r="18" spans="1:50" s="14419" customFormat="1" ht="22.5" hidden="1" customHeight="1">
      <c r="L18" s="1349"/>
      <c r="M18" s="1239"/>
      <c r="N18" s="1239"/>
      <c r="O18" s="1244" t="s">
        <v>552</v>
      </c>
      <c r="P18" s="1239"/>
      <c r="Q18" s="1248"/>
      <c r="R18" s="1248"/>
      <c r="S18" s="629"/>
      <c r="W18" s="1243"/>
      <c r="X18" s="1243"/>
      <c r="Y18" s="1243"/>
      <c r="Z18" s="1243"/>
      <c r="AA18" s="1243"/>
      <c r="AC18" s="1244"/>
      <c r="AE18" s="1244"/>
      <c r="AF18" s="1243"/>
      <c r="AH18" s="1243"/>
      <c r="AI18" s="1243"/>
      <c r="AJ18" s="1243"/>
      <c r="AK18" s="1243"/>
      <c r="AL18" s="1243"/>
      <c r="AN18" s="1244"/>
      <c r="AP18" s="1244"/>
      <c r="AQ18" s="1243"/>
      <c r="AT18" s="418"/>
      <c r="AU18" s="418"/>
      <c r="AV18" s="418"/>
      <c r="AW18" s="418"/>
      <c r="AX18" s="418"/>
    </row>
    <row r="19" spans="1:50" s="14419" customFormat="1" ht="14.25" hidden="1" customHeight="1">
      <c r="L19" s="1349"/>
      <c r="M19" s="1239"/>
      <c r="N19" s="1239"/>
      <c r="O19" s="1239"/>
      <c r="P19" s="1239"/>
      <c r="Q19" s="1248"/>
      <c r="R19" s="1248"/>
      <c r="S19" s="629"/>
      <c r="W19" s="1243"/>
      <c r="X19" s="1243"/>
      <c r="Y19" s="1243"/>
      <c r="Z19" s="1243"/>
      <c r="AA19" s="1243"/>
      <c r="AF19" s="1243"/>
      <c r="AH19" s="1243"/>
      <c r="AI19" s="1243"/>
      <c r="AJ19" s="1243"/>
      <c r="AK19" s="1243"/>
      <c r="AL19" s="1243"/>
      <c r="AQ19" s="1243"/>
      <c r="AT19" s="418"/>
      <c r="AU19" s="418"/>
      <c r="AV19" s="418"/>
      <c r="AW19" s="418"/>
      <c r="AX19" s="418"/>
    </row>
    <row r="20" spans="1:50" s="14419" customFormat="1" ht="12" hidden="1" customHeight="1">
      <c r="L20" s="1349"/>
      <c r="M20" s="1239"/>
      <c r="N20" s="1239"/>
      <c r="O20" s="1241" t="s">
        <v>553</v>
      </c>
      <c r="P20" s="1239"/>
      <c r="Q20" s="1317"/>
      <c r="R20" s="1317"/>
      <c r="S20" s="629"/>
      <c r="T20" s="1041" t="s">
        <v>554</v>
      </c>
      <c r="W20" s="1243"/>
      <c r="X20" s="1243"/>
      <c r="Y20" s="1243"/>
      <c r="Z20" s="1243"/>
      <c r="AA20" s="1243"/>
      <c r="AD20" s="108" t="s">
        <v>555</v>
      </c>
      <c r="AF20" s="108" t="s">
        <v>556</v>
      </c>
      <c r="AG20" s="1041" t="s">
        <v>554</v>
      </c>
      <c r="AH20" s="1243"/>
      <c r="AI20" s="1243"/>
      <c r="AJ20" s="1243"/>
      <c r="AK20" s="1243"/>
      <c r="AL20" s="1243"/>
      <c r="AO20" s="108" t="s">
        <v>557</v>
      </c>
      <c r="AQ20" s="108" t="s">
        <v>556</v>
      </c>
    </row>
    <row r="21" spans="1:50" ht="14.25" hidden="1" customHeight="1">
      <c r="O21" s="1241"/>
    </row>
    <row r="22" spans="1:50" ht="14.25" hidden="1" customHeight="1">
      <c r="O22" s="1241"/>
    </row>
    <row r="23" spans="1:50" ht="14.25" customHeight="1">
      <c r="Q23" s="291"/>
      <c r="R23" s="291"/>
      <c r="S23" s="1157"/>
      <c r="T23" s="279"/>
      <c r="U23" s="279"/>
      <c r="V23" s="416"/>
      <c r="W23" s="1498"/>
      <c r="X23" s="1498"/>
      <c r="Y23" s="1498"/>
      <c r="Z23" s="1498"/>
      <c r="AA23" s="1498"/>
      <c r="AB23" s="416"/>
      <c r="AC23" s="416"/>
      <c r="AD23" s="416"/>
      <c r="AE23" s="416"/>
      <c r="AF23" s="416"/>
      <c r="AG23" s="416"/>
      <c r="AH23" s="1498"/>
      <c r="AI23" s="1498"/>
      <c r="AJ23" s="1498"/>
      <c r="AK23" s="1498"/>
      <c r="AL23" s="1498"/>
      <c r="AM23" s="416"/>
      <c r="AN23" s="416"/>
      <c r="AO23" s="416"/>
      <c r="AP23" s="416"/>
      <c r="AQ23" s="416"/>
    </row>
    <row r="24" spans="1:50" ht="24.75" customHeight="1">
      <c r="Q24" s="291"/>
      <c r="R24" s="291"/>
      <c r="S24" s="1610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6108"/>
      <c r="U24" s="16108"/>
      <c r="V24" s="16108"/>
      <c r="W24" s="16108"/>
      <c r="X24" s="16108"/>
      <c r="Y24" s="16108"/>
      <c r="Z24" s="16108"/>
      <c r="AA24" s="16108"/>
      <c r="AB24" s="16108"/>
      <c r="AC24" s="16108"/>
      <c r="AD24" s="16108"/>
      <c r="AE24" s="16108"/>
      <c r="AF24" s="16108"/>
      <c r="AG24" s="16108"/>
      <c r="AH24" s="16108"/>
      <c r="AI24" s="16108"/>
      <c r="AJ24" s="16108"/>
      <c r="AK24" s="16108"/>
      <c r="AL24" s="16108"/>
      <c r="AM24" s="16108"/>
      <c r="AN24" s="16108"/>
      <c r="AO24" s="16108"/>
      <c r="AP24" s="16108"/>
      <c r="AQ24" s="1125"/>
    </row>
    <row r="25" spans="1:50" ht="14.25" customHeight="1">
      <c r="Q25" s="291"/>
      <c r="R25" s="291"/>
      <c r="S25" s="16056" t="str">
        <f>IF(org=0,"Не определено",org)</f>
        <v>АО "Мурманэнергосбыт"</v>
      </c>
      <c r="T25" s="16056"/>
      <c r="U25" s="16056"/>
      <c r="V25" s="16056"/>
      <c r="W25" s="16056"/>
      <c r="X25" s="16056"/>
      <c r="Y25" s="16056"/>
      <c r="Z25" s="16056"/>
      <c r="AA25" s="16056"/>
      <c r="AB25" s="16056"/>
      <c r="AC25" s="16056"/>
      <c r="AD25" s="16056"/>
      <c r="AE25" s="16056"/>
      <c r="AF25" s="16056"/>
      <c r="AG25" s="16056"/>
      <c r="AH25" s="16056"/>
      <c r="AI25" s="16056"/>
      <c r="AJ25" s="16056"/>
      <c r="AK25" s="16056"/>
      <c r="AL25" s="16056"/>
      <c r="AM25" s="16056"/>
      <c r="AN25" s="16056"/>
      <c r="AO25" s="16056"/>
      <c r="AP25" s="16056"/>
      <c r="AQ25" s="1125"/>
    </row>
    <row r="26" spans="1:50" ht="14.25" customHeight="1">
      <c r="Q26" s="291"/>
      <c r="R26" s="291"/>
      <c r="S26" s="1157"/>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416"/>
    </row>
    <row r="27" spans="1:50" s="14420" customFormat="1" ht="25.5" customHeight="1">
      <c r="A27" s="1245"/>
      <c r="B27" s="1245"/>
      <c r="C27" s="1245"/>
      <c r="D27" s="1245"/>
      <c r="E27" s="1245"/>
      <c r="F27" s="1245"/>
      <c r="G27" s="1245"/>
      <c r="H27" s="1245"/>
      <c r="I27" s="1245"/>
      <c r="J27" s="1245"/>
      <c r="K27" s="1245"/>
      <c r="L27" s="1246"/>
      <c r="M27" s="1245"/>
      <c r="N27" s="1245"/>
      <c r="O27" s="1245"/>
      <c r="S27" s="16116" t="s">
        <v>38</v>
      </c>
      <c r="T27" s="16116"/>
      <c r="U27" s="1249"/>
      <c r="V27" s="16117" t="str">
        <f>IF(TITLE_NAME_OR_PR_CHANGE="",IF(TITLE_NAME_OR_PR="","",TITLE_NAME_OR_PR),TITLE_NAME_OR_PR_CHANGE)</f>
        <v>Комитет по тарифному регулированию Мурманской области</v>
      </c>
      <c r="W27" s="16117"/>
      <c r="X27" s="16117"/>
      <c r="Y27" s="16117"/>
      <c r="Z27" s="16117"/>
      <c r="AA27" s="16117"/>
      <c r="AB27" s="16117"/>
      <c r="AC27" s="16117"/>
      <c r="AD27" s="16117"/>
      <c r="AE27" s="16117"/>
      <c r="AF27" s="243"/>
      <c r="AG27" s="16117" t="str">
        <f>IF(TITLE_NAME_OR_PR_CHANGE="",IF(TITLE_NAME_OR_PR="","",TITLE_NAME_OR_PR),TITLE_NAME_OR_PR_CHANGE)</f>
        <v>Комитет по тарифному регулированию Мурманской области</v>
      </c>
      <c r="AH27" s="16117"/>
      <c r="AI27" s="16117"/>
      <c r="AJ27" s="16117"/>
      <c r="AK27" s="16117"/>
      <c r="AL27" s="16117"/>
      <c r="AM27" s="16117"/>
      <c r="AN27" s="16117"/>
      <c r="AO27" s="16117"/>
      <c r="AP27" s="16117"/>
      <c r="AQ27" s="243"/>
      <c r="AR27" s="243"/>
      <c r="AS27" s="198"/>
      <c r="AT27" s="283"/>
      <c r="AU27" s="283"/>
      <c r="AV27" s="283"/>
      <c r="AW27" s="283"/>
      <c r="AX27" s="283"/>
    </row>
    <row r="28" spans="1:50" s="14420" customFormat="1" ht="18.75" customHeight="1">
      <c r="A28" s="1245"/>
      <c r="B28" s="1245"/>
      <c r="C28" s="1245"/>
      <c r="D28" s="1245"/>
      <c r="E28" s="1245"/>
      <c r="F28" s="1245"/>
      <c r="G28" s="1245"/>
      <c r="H28" s="1245"/>
      <c r="I28" s="1245"/>
      <c r="J28" s="1245"/>
      <c r="K28" s="1245"/>
      <c r="L28" s="1246"/>
      <c r="M28" s="1245"/>
      <c r="N28" s="1245"/>
      <c r="O28" s="1245"/>
      <c r="S28" s="16116" t="s">
        <v>558</v>
      </c>
      <c r="T28" s="16116"/>
      <c r="U28" s="1249"/>
      <c r="V28" s="16126">
        <f>IF(TITLE_DATE_PR_CHANGE="",IF(TITLE_DATE_PR="","",TITLE_DATE_PR),TITLE_DATE_PR_CHANGE)</f>
        <v>45379</v>
      </c>
      <c r="W28" s="16126"/>
      <c r="X28" s="16126"/>
      <c r="Y28" s="16126"/>
      <c r="Z28" s="16126"/>
      <c r="AA28" s="16126"/>
      <c r="AB28" s="16126"/>
      <c r="AC28" s="16126"/>
      <c r="AD28" s="16126"/>
      <c r="AE28" s="16126"/>
      <c r="AF28" s="243"/>
      <c r="AG28" s="16126">
        <f>IF(TITLE_DATE_PR_CHANGE="",IF(TITLE_DATE_PR="","",TITLE_DATE_PR),TITLE_DATE_PR_CHANGE)</f>
        <v>45379</v>
      </c>
      <c r="AH28" s="16126"/>
      <c r="AI28" s="16126"/>
      <c r="AJ28" s="16126"/>
      <c r="AK28" s="16126"/>
      <c r="AL28" s="16126"/>
      <c r="AM28" s="16126"/>
      <c r="AN28" s="16126"/>
      <c r="AO28" s="16126"/>
      <c r="AP28" s="16126"/>
      <c r="AQ28" s="243"/>
      <c r="AR28" s="243"/>
      <c r="AS28" s="198"/>
      <c r="AT28" s="283"/>
      <c r="AU28" s="283"/>
      <c r="AV28" s="283"/>
      <c r="AW28" s="283"/>
      <c r="AX28" s="283"/>
    </row>
    <row r="29" spans="1:50" s="14420" customFormat="1" ht="18.75" customHeight="1">
      <c r="A29" s="1245"/>
      <c r="B29" s="1245"/>
      <c r="C29" s="1245"/>
      <c r="D29" s="1245"/>
      <c r="E29" s="1245"/>
      <c r="F29" s="1245"/>
      <c r="G29" s="1245"/>
      <c r="H29" s="1245"/>
      <c r="I29" s="1245"/>
      <c r="J29" s="1245"/>
      <c r="K29" s="1245"/>
      <c r="L29" s="1246"/>
      <c r="M29" s="1245"/>
      <c r="N29" s="1245"/>
      <c r="O29" s="1245"/>
      <c r="S29" s="16116" t="s">
        <v>559</v>
      </c>
      <c r="T29" s="16116"/>
      <c r="U29" s="1249"/>
      <c r="V29" s="16117" t="str">
        <f>IF(TITLE_NUMBER_PR_CHANGE="",IF(TITLE_NUMBER_PR="","",TITLE_NUMBER_PR),TITLE_NUMBER_PR_CHANGE)</f>
        <v>8/6</v>
      </c>
      <c r="W29" s="16117"/>
      <c r="X29" s="16117"/>
      <c r="Y29" s="16117"/>
      <c r="Z29" s="16117"/>
      <c r="AA29" s="16117"/>
      <c r="AB29" s="16117"/>
      <c r="AC29" s="16117"/>
      <c r="AD29" s="16117"/>
      <c r="AE29" s="16117"/>
      <c r="AF29" s="243"/>
      <c r="AG29" s="16117" t="str">
        <f>IF(TITLE_NUMBER_PR_CHANGE="",IF(TITLE_NUMBER_PR="","",TITLE_NUMBER_PR),TITLE_NUMBER_PR_CHANGE)</f>
        <v>8/6</v>
      </c>
      <c r="AH29" s="16117"/>
      <c r="AI29" s="16117"/>
      <c r="AJ29" s="16117"/>
      <c r="AK29" s="16117"/>
      <c r="AL29" s="16117"/>
      <c r="AM29" s="16117"/>
      <c r="AN29" s="16117"/>
      <c r="AO29" s="16117"/>
      <c r="AP29" s="16117"/>
      <c r="AQ29" s="243"/>
      <c r="AR29" s="243"/>
      <c r="AS29" s="198"/>
      <c r="AT29" s="283"/>
      <c r="AU29" s="283"/>
      <c r="AV29" s="283"/>
      <c r="AW29" s="283"/>
      <c r="AX29" s="283"/>
    </row>
    <row r="30" spans="1:50" s="14420" customFormat="1" ht="18.75" customHeight="1">
      <c r="A30" s="1245"/>
      <c r="B30" s="1245"/>
      <c r="C30" s="1245"/>
      <c r="D30" s="1245"/>
      <c r="E30" s="1245"/>
      <c r="F30" s="1245"/>
      <c r="G30" s="1245"/>
      <c r="H30" s="1245"/>
      <c r="I30" s="1245"/>
      <c r="J30" s="1245"/>
      <c r="K30" s="1245"/>
      <c r="L30" s="1246"/>
      <c r="M30" s="1245"/>
      <c r="N30" s="1245"/>
      <c r="O30" s="1245"/>
      <c r="S30" s="16116" t="s">
        <v>40</v>
      </c>
      <c r="T30" s="16116"/>
      <c r="U30" s="1249"/>
      <c r="V30" s="16117" t="str">
        <f>IF(TITLE_IST_PUB_CHANGE="",IF(TITLE_IST_PUB="","",TITLE_IST_PUB),TITLE_IST_PUB_CHANGE)</f>
        <v>https://npa.gov-murman.ru/bitrix/components/b1team/govmurman.element.file/download.php?ID=518761&amp;FID=765125</v>
      </c>
      <c r="W30" s="16117"/>
      <c r="X30" s="16117"/>
      <c r="Y30" s="16117"/>
      <c r="Z30" s="16117"/>
      <c r="AA30" s="16117"/>
      <c r="AB30" s="16117"/>
      <c r="AC30" s="16117"/>
      <c r="AD30" s="16117"/>
      <c r="AE30" s="16117"/>
      <c r="AF30" s="243"/>
      <c r="AG30" s="16117" t="str">
        <f>IF(TITLE_IST_PUB_CHANGE="",IF(TITLE_IST_PUB="","",TITLE_IST_PUB),TITLE_IST_PUB_CHANGE)</f>
        <v>https://npa.gov-murman.ru/bitrix/components/b1team/govmurman.element.file/download.php?ID=518761&amp;FID=765125</v>
      </c>
      <c r="AH30" s="16117"/>
      <c r="AI30" s="16117"/>
      <c r="AJ30" s="16117"/>
      <c r="AK30" s="16117"/>
      <c r="AL30" s="16117"/>
      <c r="AM30" s="16117"/>
      <c r="AN30" s="16117"/>
      <c r="AO30" s="16117"/>
      <c r="AP30" s="16117"/>
      <c r="AQ30" s="243"/>
      <c r="AR30" s="243"/>
      <c r="AS30" s="198"/>
      <c r="AT30" s="283"/>
      <c r="AU30" s="283"/>
      <c r="AV30" s="283"/>
      <c r="AW30" s="283"/>
      <c r="AX30" s="283"/>
    </row>
    <row r="31" spans="1:50" ht="14.25" hidden="1" customHeight="1">
      <c r="Q31" s="291"/>
      <c r="R31" s="291"/>
      <c r="S31" s="1157"/>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416"/>
    </row>
    <row r="32" spans="1:50" s="14420" customFormat="1" ht="18.75" hidden="1" customHeight="1">
      <c r="A32" s="1245"/>
      <c r="B32" s="1245"/>
      <c r="C32" s="1245"/>
      <c r="D32" s="1245"/>
      <c r="E32" s="1245"/>
      <c r="F32" s="1245"/>
      <c r="G32" s="1245"/>
      <c r="H32" s="1245"/>
      <c r="I32" s="1245"/>
      <c r="J32" s="1245"/>
      <c r="K32" s="1245"/>
      <c r="L32" s="1246"/>
      <c r="M32" s="1245"/>
      <c r="N32" s="1245"/>
      <c r="O32" s="1245"/>
      <c r="S32" s="16116" t="s">
        <v>560</v>
      </c>
      <c r="T32" s="16116"/>
      <c r="U32" s="1249"/>
      <c r="V32" s="16126">
        <f>IF(TITLE_DATE_PR_CHANGE="",IF(TITLE_DATE_PR="","",TITLE_DATE_PR),TITLE_DATE_PR_CHANGE)</f>
        <v>45379</v>
      </c>
      <c r="W32" s="16126"/>
      <c r="X32" s="16126"/>
      <c r="Y32" s="16126"/>
      <c r="Z32" s="16126"/>
      <c r="AA32" s="16126"/>
      <c r="AB32" s="16126"/>
      <c r="AC32" s="16126"/>
      <c r="AD32" s="16126"/>
      <c r="AE32" s="16126"/>
      <c r="AF32" s="243"/>
      <c r="AG32" s="16126">
        <f>IF(TITLE_DATE_PR_CHANGE="",IF(TITLE_DATE_PR="","",TITLE_DATE_PR),TITLE_DATE_PR_CHANGE)</f>
        <v>45379</v>
      </c>
      <c r="AH32" s="16126"/>
      <c r="AI32" s="16126"/>
      <c r="AJ32" s="16126"/>
      <c r="AK32" s="16126"/>
      <c r="AL32" s="16126"/>
      <c r="AM32" s="16126"/>
      <c r="AN32" s="16126"/>
      <c r="AO32" s="16126"/>
      <c r="AP32" s="16126"/>
      <c r="AQ32" s="243"/>
      <c r="AR32" s="243"/>
      <c r="AS32" s="198"/>
      <c r="AT32" s="283"/>
      <c r="AU32" s="283"/>
      <c r="AV32" s="283"/>
      <c r="AW32" s="283"/>
      <c r="AX32" s="283"/>
    </row>
    <row r="33" spans="1:50" s="14420" customFormat="1" ht="18.75" hidden="1" customHeight="1">
      <c r="A33" s="1245"/>
      <c r="B33" s="1245"/>
      <c r="C33" s="1245"/>
      <c r="D33" s="1245"/>
      <c r="E33" s="1245"/>
      <c r="F33" s="1245"/>
      <c r="G33" s="1245"/>
      <c r="H33" s="1245"/>
      <c r="I33" s="1245"/>
      <c r="J33" s="1245"/>
      <c r="K33" s="1245"/>
      <c r="L33" s="1246"/>
      <c r="M33" s="1245"/>
      <c r="N33" s="1245"/>
      <c r="O33" s="1245"/>
      <c r="S33" s="16116" t="s">
        <v>561</v>
      </c>
      <c r="T33" s="16116"/>
      <c r="U33" s="1249"/>
      <c r="V33" s="16117" t="str">
        <f>IF(TITLE_NUMBER_PR_CHANGE="",IF(TITLE_NUMBER_PR="","",TITLE_NUMBER_PR),TITLE_NUMBER_PR_CHANGE)</f>
        <v>8/6</v>
      </c>
      <c r="W33" s="16117"/>
      <c r="X33" s="16117"/>
      <c r="Y33" s="16117"/>
      <c r="Z33" s="16117"/>
      <c r="AA33" s="16117"/>
      <c r="AB33" s="16117"/>
      <c r="AC33" s="16117"/>
      <c r="AD33" s="16117"/>
      <c r="AE33" s="16117"/>
      <c r="AF33" s="243"/>
      <c r="AG33" s="16117" t="str">
        <f>IF(TITLE_NUMBER_PR_CHANGE="",IF(TITLE_NUMBER_PR="","",TITLE_NUMBER_PR),TITLE_NUMBER_PR_CHANGE)</f>
        <v>8/6</v>
      </c>
      <c r="AH33" s="16117"/>
      <c r="AI33" s="16117"/>
      <c r="AJ33" s="16117"/>
      <c r="AK33" s="16117"/>
      <c r="AL33" s="16117"/>
      <c r="AM33" s="16117"/>
      <c r="AN33" s="16117"/>
      <c r="AO33" s="16117"/>
      <c r="AP33" s="16117"/>
      <c r="AQ33" s="243"/>
      <c r="AR33" s="243"/>
      <c r="AS33" s="198"/>
      <c r="AT33" s="283"/>
      <c r="AU33" s="283"/>
      <c r="AV33" s="283"/>
      <c r="AW33" s="283"/>
      <c r="AX33" s="283"/>
    </row>
    <row r="34" spans="1:50" s="14420" customFormat="1" ht="0.75" customHeight="1">
      <c r="A34" s="1245"/>
      <c r="B34" s="1245"/>
      <c r="C34" s="1245"/>
      <c r="D34" s="1245"/>
      <c r="E34" s="1245"/>
      <c r="F34" s="1245"/>
      <c r="G34" s="1245"/>
      <c r="H34" s="1245"/>
      <c r="I34" s="1245"/>
      <c r="J34" s="1245"/>
      <c r="K34" s="1245"/>
      <c r="L34" s="1246"/>
      <c r="M34" s="1245"/>
      <c r="N34" s="1245"/>
      <c r="O34" s="1245"/>
      <c r="S34" s="240"/>
      <c r="T34" s="240"/>
      <c r="U34" s="1359"/>
      <c r="V34" s="243"/>
      <c r="W34" s="1498"/>
      <c r="X34" s="1498"/>
      <c r="Y34" s="1498"/>
      <c r="Z34" s="1498"/>
      <c r="AA34" s="1498"/>
      <c r="AB34" s="243"/>
      <c r="AC34" s="243"/>
      <c r="AD34" s="243"/>
      <c r="AE34" s="243"/>
      <c r="AF34" s="196" t="s">
        <v>562</v>
      </c>
      <c r="AG34" s="243"/>
      <c r="AH34" s="1498"/>
      <c r="AI34" s="1498"/>
      <c r="AJ34" s="1498"/>
      <c r="AK34" s="1498"/>
      <c r="AL34" s="1498"/>
      <c r="AM34" s="243"/>
      <c r="AN34" s="243"/>
      <c r="AO34" s="243"/>
      <c r="AP34" s="243"/>
      <c r="AQ34" s="196" t="s">
        <v>562</v>
      </c>
      <c r="AT34" s="283"/>
      <c r="AU34" s="283"/>
      <c r="AV34" s="283"/>
      <c r="AW34" s="283"/>
      <c r="AX34" s="283"/>
    </row>
    <row r="35" spans="1:50" ht="14.25" customHeight="1">
      <c r="Q35" s="291"/>
      <c r="R35" s="291"/>
      <c r="S35" s="1157"/>
      <c r="T35" s="279"/>
      <c r="U35" s="1126"/>
      <c r="V35" s="16118"/>
      <c r="W35" s="16118"/>
      <c r="X35" s="16118"/>
      <c r="Y35" s="16118"/>
      <c r="Z35" s="16118"/>
      <c r="AA35" s="16118"/>
      <c r="AB35" s="16118"/>
      <c r="AC35" s="16118"/>
      <c r="AD35" s="16118"/>
      <c r="AE35" s="16118"/>
      <c r="AF35" s="16118"/>
      <c r="AG35" s="16118"/>
      <c r="AH35" s="16118"/>
      <c r="AI35" s="16118"/>
      <c r="AJ35" s="16118"/>
      <c r="AK35" s="16118"/>
      <c r="AL35" s="16118"/>
      <c r="AM35" s="16118"/>
      <c r="AN35" s="16118"/>
      <c r="AO35" s="16118"/>
      <c r="AP35" s="16118"/>
      <c r="AQ35" s="16118"/>
    </row>
    <row r="36" spans="1:50" ht="14.25" customHeight="1">
      <c r="Q36" s="291"/>
      <c r="R36" s="291"/>
      <c r="S36" s="15992" t="s">
        <v>437</v>
      </c>
      <c r="T36" s="15992"/>
      <c r="U36" s="15992"/>
      <c r="V36" s="15992"/>
      <c r="W36" s="15992"/>
      <c r="X36" s="15992"/>
      <c r="Y36" s="15992"/>
      <c r="Z36" s="15992"/>
      <c r="AA36" s="15992"/>
      <c r="AB36" s="15992"/>
      <c r="AC36" s="15992"/>
      <c r="AD36" s="15992"/>
      <c r="AE36" s="15992"/>
      <c r="AF36" s="15992"/>
      <c r="AG36" s="15992"/>
      <c r="AH36" s="15992"/>
      <c r="AI36" s="15992"/>
      <c r="AJ36" s="15992"/>
      <c r="AK36" s="15992"/>
      <c r="AL36" s="15992"/>
      <c r="AM36" s="15992"/>
      <c r="AN36" s="15992"/>
      <c r="AO36" s="15992"/>
      <c r="AP36" s="15992"/>
      <c r="AQ36" s="15992"/>
      <c r="AR36" s="15992"/>
      <c r="AS36" s="15992" t="s">
        <v>438</v>
      </c>
    </row>
    <row r="37" spans="1:50" ht="14.25" customHeight="1">
      <c r="Q37" s="291"/>
      <c r="R37" s="291"/>
      <c r="S37" s="16132" t="s">
        <v>87</v>
      </c>
      <c r="T37" s="16084" t="s">
        <v>563</v>
      </c>
      <c r="U37" s="218"/>
      <c r="V37" s="16133" t="s">
        <v>564</v>
      </c>
      <c r="W37" s="16134"/>
      <c r="X37" s="16134"/>
      <c r="Y37" s="16134"/>
      <c r="Z37" s="16134"/>
      <c r="AA37" s="16134"/>
      <c r="AB37" s="16134"/>
      <c r="AC37" s="16134"/>
      <c r="AD37" s="16134"/>
      <c r="AE37" s="16135"/>
      <c r="AF37" s="16136" t="s">
        <v>565</v>
      </c>
      <c r="AG37" s="16133" t="s">
        <v>564</v>
      </c>
      <c r="AH37" s="16134"/>
      <c r="AI37" s="16134"/>
      <c r="AJ37" s="16134"/>
      <c r="AK37" s="16134"/>
      <c r="AL37" s="16134"/>
      <c r="AM37" s="16134"/>
      <c r="AN37" s="16134"/>
      <c r="AO37" s="16134"/>
      <c r="AP37" s="16135"/>
      <c r="AQ37" s="16136" t="s">
        <v>566</v>
      </c>
      <c r="AR37" s="16139" t="s">
        <v>567</v>
      </c>
      <c r="AS37" s="15992"/>
    </row>
    <row r="38" spans="1:50" s="14433" customFormat="1" ht="18.75" customHeight="1">
      <c r="A38" s="1243"/>
      <c r="B38" s="1243"/>
      <c r="C38" s="1243"/>
      <c r="D38" s="1243"/>
      <c r="E38" s="1243"/>
      <c r="F38" s="1243"/>
      <c r="G38" s="1243"/>
      <c r="H38" s="1243"/>
      <c r="I38" s="1243"/>
      <c r="J38" s="1243"/>
      <c r="K38" s="1243"/>
      <c r="L38" s="1841"/>
      <c r="M38" s="1239"/>
      <c r="N38" s="1239"/>
      <c r="O38" s="1239"/>
      <c r="P38" s="1842"/>
      <c r="Q38" s="291"/>
      <c r="R38" s="291"/>
      <c r="S38" s="16132"/>
      <c r="T38" s="16084"/>
      <c r="U38" s="919"/>
      <c r="V38" s="15992" t="s">
        <v>667</v>
      </c>
      <c r="W38" s="16080" t="s">
        <v>668</v>
      </c>
      <c r="X38" s="16080"/>
      <c r="Y38" s="16080"/>
      <c r="Z38" s="16080" t="s">
        <v>669</v>
      </c>
      <c r="AA38" s="16080"/>
      <c r="AB38" s="16080"/>
      <c r="AC38" s="16070" t="s">
        <v>571</v>
      </c>
      <c r="AD38" s="16157"/>
      <c r="AE38" s="16071"/>
      <c r="AF38" s="16137"/>
      <c r="AG38" s="15992" t="s">
        <v>667</v>
      </c>
      <c r="AH38" s="16080" t="s">
        <v>668</v>
      </c>
      <c r="AI38" s="16080"/>
      <c r="AJ38" s="16080"/>
      <c r="AK38" s="16080" t="s">
        <v>669</v>
      </c>
      <c r="AL38" s="16080"/>
      <c r="AM38" s="16080"/>
      <c r="AN38" s="16070" t="s">
        <v>571</v>
      </c>
      <c r="AO38" s="16157"/>
      <c r="AP38" s="16071"/>
      <c r="AQ38" s="16137"/>
      <c r="AR38" s="16140"/>
      <c r="AS38" s="15992"/>
      <c r="AT38" s="1499"/>
      <c r="AU38" s="1499"/>
      <c r="AV38" s="1499"/>
      <c r="AW38" s="1499"/>
      <c r="AX38" s="1499"/>
    </row>
    <row r="39" spans="1:50" ht="18.75" customHeight="1">
      <c r="Q39" s="291"/>
      <c r="R39" s="291"/>
      <c r="S39" s="16132"/>
      <c r="T39" s="16084"/>
      <c r="U39" s="919"/>
      <c r="V39" s="15992"/>
      <c r="W39" s="16080" t="s">
        <v>670</v>
      </c>
      <c r="X39" s="16080" t="s">
        <v>671</v>
      </c>
      <c r="Y39" s="16080"/>
      <c r="Z39" s="16080" t="s">
        <v>672</v>
      </c>
      <c r="AA39" s="16080" t="s">
        <v>671</v>
      </c>
      <c r="AB39" s="16080"/>
      <c r="AC39" s="16075"/>
      <c r="AD39" s="16158"/>
      <c r="AE39" s="16076"/>
      <c r="AF39" s="16137"/>
      <c r="AG39" s="15992"/>
      <c r="AH39" s="16080" t="s">
        <v>670</v>
      </c>
      <c r="AI39" s="16080" t="s">
        <v>671</v>
      </c>
      <c r="AJ39" s="16080"/>
      <c r="AK39" s="16080" t="s">
        <v>672</v>
      </c>
      <c r="AL39" s="16080" t="s">
        <v>671</v>
      </c>
      <c r="AM39" s="16080"/>
      <c r="AN39" s="16075"/>
      <c r="AO39" s="16158"/>
      <c r="AP39" s="16076"/>
      <c r="AQ39" s="16137"/>
      <c r="AR39" s="16140"/>
      <c r="AS39" s="15992"/>
    </row>
    <row r="40" spans="1:50" ht="59.25" customHeight="1">
      <c r="A40" s="1247"/>
      <c r="B40" s="1247" t="s">
        <v>170</v>
      </c>
      <c r="C40" s="1247" t="s">
        <v>171</v>
      </c>
      <c r="D40" s="1247" t="s">
        <v>172</v>
      </c>
      <c r="E40" s="1241" t="s">
        <v>572</v>
      </c>
      <c r="F40" s="1241" t="s">
        <v>573</v>
      </c>
      <c r="G40" s="1241" t="s">
        <v>574</v>
      </c>
      <c r="H40" s="1241"/>
      <c r="I40" s="1241" t="s">
        <v>625</v>
      </c>
      <c r="J40" s="1241" t="s">
        <v>577</v>
      </c>
      <c r="K40" s="1241" t="s">
        <v>626</v>
      </c>
      <c r="L40" s="1241" t="s">
        <v>553</v>
      </c>
      <c r="Q40" s="291"/>
      <c r="R40" s="291"/>
      <c r="S40" s="16132"/>
      <c r="T40" s="16084"/>
      <c r="U40" s="219"/>
      <c r="V40" s="15992"/>
      <c r="W40" s="16080"/>
      <c r="X40" s="1844" t="s">
        <v>673</v>
      </c>
      <c r="Y40" s="1844" t="s">
        <v>674</v>
      </c>
      <c r="Z40" s="16080"/>
      <c r="AA40" s="1844" t="s">
        <v>675</v>
      </c>
      <c r="AB40" s="1844" t="s">
        <v>676</v>
      </c>
      <c r="AC40" s="1360" t="s">
        <v>581</v>
      </c>
      <c r="AD40" s="16092" t="s">
        <v>582</v>
      </c>
      <c r="AE40" s="16094"/>
      <c r="AF40" s="16138"/>
      <c r="AG40" s="15992"/>
      <c r="AH40" s="16080"/>
      <c r="AI40" s="1844" t="s">
        <v>673</v>
      </c>
      <c r="AJ40" s="1844" t="s">
        <v>674</v>
      </c>
      <c r="AK40" s="16080"/>
      <c r="AL40" s="1844" t="s">
        <v>675</v>
      </c>
      <c r="AM40" s="1844" t="s">
        <v>676</v>
      </c>
      <c r="AN40" s="1360" t="s">
        <v>581</v>
      </c>
      <c r="AO40" s="16092" t="s">
        <v>582</v>
      </c>
      <c r="AP40" s="16094"/>
      <c r="AQ40" s="16138"/>
      <c r="AR40" s="16141"/>
      <c r="AS40" s="15992"/>
    </row>
    <row r="41" spans="1:50" s="14405" customFormat="1" ht="11.25" hidden="1" customHeight="1">
      <c r="A41" s="1247"/>
      <c r="B41" s="1247"/>
      <c r="C41" s="1247"/>
      <c r="D41" s="1247"/>
      <c r="E41" s="1247"/>
      <c r="F41" s="1247"/>
      <c r="G41" s="1247"/>
      <c r="H41" s="1247"/>
      <c r="I41" s="1247"/>
      <c r="J41" s="1247"/>
      <c r="K41" s="1247"/>
      <c r="L41" s="1241"/>
      <c r="M41" s="1239"/>
      <c r="N41" s="1239"/>
      <c r="O41" s="1239"/>
      <c r="P41" s="1128"/>
      <c r="Q41" s="1129"/>
      <c r="R41" s="1136">
        <v>1</v>
      </c>
      <c r="S41" s="1159" t="s">
        <v>147</v>
      </c>
      <c r="T41" s="1137" t="s">
        <v>102</v>
      </c>
      <c r="U41" s="1127" t="str">
        <f ca="1">OFFSET(U41,0,-1)</f>
        <v>2</v>
      </c>
      <c r="V41" s="1353">
        <f ca="1">OFFSET(V41,0,-1)+1</f>
        <v>3</v>
      </c>
      <c r="W41" s="1840"/>
      <c r="X41" s="1840"/>
      <c r="Y41" s="1840"/>
      <c r="Z41" s="1840"/>
      <c r="AA41" s="1840"/>
      <c r="AB41" s="1353">
        <f ca="1">OFFSET(AB41,0,-1)+1</f>
        <v>1</v>
      </c>
      <c r="AC41" s="1353">
        <f ca="1">OFFSET(AC41,0,-1)+1</f>
        <v>2</v>
      </c>
      <c r="AD41" s="16131">
        <f ca="1">OFFSET(AD41,0,-1)+1</f>
        <v>3</v>
      </c>
      <c r="AE41" s="16131"/>
      <c r="AF41" s="1353">
        <f ca="1">OFFSET(AF41,0,-2)+1</f>
        <v>4</v>
      </c>
      <c r="AG41" s="1353">
        <f ca="1">OFFSET(AG41,0,-1)+1</f>
        <v>5</v>
      </c>
      <c r="AH41" s="1840"/>
      <c r="AI41" s="1840"/>
      <c r="AJ41" s="1840"/>
      <c r="AK41" s="1840"/>
      <c r="AL41" s="1840"/>
      <c r="AM41" s="1353">
        <f ca="1">OFFSET(AM41,0,-1)+1</f>
        <v>1</v>
      </c>
      <c r="AN41" s="1353">
        <f ca="1">OFFSET(AN41,0,-1)+1</f>
        <v>2</v>
      </c>
      <c r="AO41" s="16131">
        <f ca="1">OFFSET(AO41,0,-1)+1</f>
        <v>3</v>
      </c>
      <c r="AP41" s="16131"/>
      <c r="AQ41" s="1353">
        <f ca="1">OFFSET(AQ41,0,-2)+1</f>
        <v>4</v>
      </c>
      <c r="AR41" s="1127">
        <f ca="1">OFFSET(AR41,0,-1)</f>
        <v>4</v>
      </c>
      <c r="AS41" s="1353">
        <f ca="1">OFFSET(AS41,0,-1)+1</f>
        <v>5</v>
      </c>
      <c r="AT41" s="418"/>
      <c r="AU41" s="418"/>
      <c r="AV41" s="418"/>
      <c r="AW41" s="418"/>
      <c r="AX41" s="418"/>
    </row>
    <row r="42" spans="1:50" ht="23.25" customHeight="1">
      <c r="A42" s="1240" t="s">
        <v>393</v>
      </c>
      <c r="B42" s="1240"/>
      <c r="C42" s="1240"/>
      <c r="D42" s="1240"/>
      <c r="E42" s="16124">
        <v>1</v>
      </c>
      <c r="F42" s="1240"/>
      <c r="G42" s="1240"/>
      <c r="H42" s="1240"/>
      <c r="I42" s="1240"/>
      <c r="J42" s="1240"/>
      <c r="K42" s="1240"/>
      <c r="L42" s="1241"/>
      <c r="M42" s="1242"/>
      <c r="N42" s="1242"/>
      <c r="O42" s="1242"/>
      <c r="P42" s="277"/>
      <c r="Q42" s="276"/>
      <c r="R42" s="271"/>
      <c r="S42" s="1364">
        <f>INDEX(PT_DIFFERENTIATION_NUM_NTAR,MATCH(A42,PT_DIFFERENTIATION_NTAR_ID,0))</f>
        <v>0</v>
      </c>
      <c r="T42" s="215" t="s">
        <v>158</v>
      </c>
      <c r="U42" s="217"/>
      <c r="V42" s="16110"/>
      <c r="W42" s="16111"/>
      <c r="X42" s="16111"/>
      <c r="Y42" s="16111"/>
      <c r="Z42" s="16111"/>
      <c r="AA42" s="16111"/>
      <c r="AB42" s="16111"/>
      <c r="AC42" s="16111"/>
      <c r="AD42" s="16111"/>
      <c r="AE42" s="16111"/>
      <c r="AF42" s="16112"/>
      <c r="AG42" s="16110" t="str">
        <f>INDEX(PT_DIFFERENTIATION_NTAR,MATCH(A42,PT_DIFFERENTIATION_NTAR_ID,0))</f>
        <v/>
      </c>
      <c r="AH42" s="16111"/>
      <c r="AI42" s="16111"/>
      <c r="AJ42" s="16111"/>
      <c r="AK42" s="16111"/>
      <c r="AL42" s="16111"/>
      <c r="AM42" s="16111"/>
      <c r="AN42" s="16111"/>
      <c r="AO42" s="16111"/>
      <c r="AP42" s="16111"/>
      <c r="AQ42" s="16111"/>
      <c r="AR42" s="16112"/>
      <c r="AS4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07"/>
      <c r="AV42" s="407" t="str">
        <f t="shared" ref="AV42:AV54" si="1">IF(T42="","",T42)</f>
        <v>Наименование тарифа</v>
      </c>
      <c r="AW42" s="407"/>
      <c r="AX42" s="407"/>
    </row>
    <row r="43" spans="1:50" ht="23.25" customHeight="1">
      <c r="A43" s="1240" t="s">
        <v>393</v>
      </c>
      <c r="B43" s="1240" t="s">
        <v>394</v>
      </c>
      <c r="C43" s="1240"/>
      <c r="D43" s="1240"/>
      <c r="E43" s="16125"/>
      <c r="F43" s="16124">
        <v>1</v>
      </c>
      <c r="G43" s="1240"/>
      <c r="H43" s="1240"/>
      <c r="I43" s="1240"/>
      <c r="J43" s="1240"/>
      <c r="K43" s="1240"/>
      <c r="L43" s="1241"/>
      <c r="M43" s="1242"/>
      <c r="N43" s="1242"/>
      <c r="O43" s="1242"/>
      <c r="P43" s="1358"/>
      <c r="Q43" s="268"/>
      <c r="R43" s="269"/>
      <c r="S43" s="1364" t="str">
        <f>INDEX(PT_DIFFERENTIATION_NUM_TER,MATCH(B43,PT_DIFFERENTIATION_TER_ID,0))</f>
        <v>.</v>
      </c>
      <c r="T43" s="225" t="s">
        <v>534</v>
      </c>
      <c r="U43" s="217"/>
      <c r="V43" s="16110"/>
      <c r="W43" s="16111"/>
      <c r="X43" s="16111"/>
      <c r="Y43" s="16111"/>
      <c r="Z43" s="16111"/>
      <c r="AA43" s="16111"/>
      <c r="AB43" s="16111"/>
      <c r="AC43" s="16111"/>
      <c r="AD43" s="16111"/>
      <c r="AE43" s="16111"/>
      <c r="AF43" s="16112"/>
      <c r="AG43" s="16110" t="str">
        <f>INDEX(PT_DIFFERENTIATION_TER,MATCH(B43,PT_DIFFERENTIATION_TER_ID,0))</f>
        <v/>
      </c>
      <c r="AH43" s="16111"/>
      <c r="AI43" s="16111"/>
      <c r="AJ43" s="16111"/>
      <c r="AK43" s="16111"/>
      <c r="AL43" s="16111"/>
      <c r="AM43" s="16111"/>
      <c r="AN43" s="16111"/>
      <c r="AO43" s="16111"/>
      <c r="AP43" s="16111"/>
      <c r="AQ43" s="16111"/>
      <c r="AR43" s="16112"/>
      <c r="AS43" s="1140" t="s">
        <v>535</v>
      </c>
      <c r="AU43" s="407"/>
      <c r="AV43" s="407" t="str">
        <f t="shared" si="1"/>
        <v>Территория действия тарифа</v>
      </c>
      <c r="AW43" s="407"/>
      <c r="AX43" s="407"/>
    </row>
    <row r="44" spans="1:50" ht="23.25" customHeight="1">
      <c r="A44" s="1240" t="s">
        <v>393</v>
      </c>
      <c r="B44" s="1240" t="s">
        <v>394</v>
      </c>
      <c r="C44" s="1240" t="s">
        <v>395</v>
      </c>
      <c r="D44" s="1240"/>
      <c r="E44" s="16125"/>
      <c r="F44" s="16125"/>
      <c r="G44" s="16124">
        <v>1</v>
      </c>
      <c r="H44" s="1240"/>
      <c r="I44" s="1240"/>
      <c r="J44" s="1240"/>
      <c r="K44" s="1240"/>
      <c r="L44" s="1241"/>
      <c r="M44" s="1242"/>
      <c r="N44" s="1242"/>
      <c r="O44" s="1242"/>
      <c r="P44" s="270"/>
      <c r="Q44" s="268"/>
      <c r="R44" s="269"/>
      <c r="S44" s="1364" t="str">
        <f>INDEX(PT_DIFFERENTIATION_NUM_CS,MATCH(C44,PT_DIFFERENTIATION_CS_ID,0))</f>
        <v>..</v>
      </c>
      <c r="T44" s="226" t="s">
        <v>665</v>
      </c>
      <c r="U44" s="217"/>
      <c r="V44" s="16110"/>
      <c r="W44" s="16111"/>
      <c r="X44" s="16111"/>
      <c r="Y44" s="16111"/>
      <c r="Z44" s="16111"/>
      <c r="AA44" s="16111"/>
      <c r="AB44" s="16111"/>
      <c r="AC44" s="16111"/>
      <c r="AD44" s="16111"/>
      <c r="AE44" s="16111"/>
      <c r="AF44" s="16112"/>
      <c r="AG44" s="16110" t="str">
        <f>INDEX(PT_DIFFERENTIATION_CS,MATCH(C44,PT_DIFFERENTIATION_CS_ID,0))</f>
        <v/>
      </c>
      <c r="AH44" s="16111"/>
      <c r="AI44" s="16111"/>
      <c r="AJ44" s="16111"/>
      <c r="AK44" s="16111"/>
      <c r="AL44" s="16111"/>
      <c r="AM44" s="16111"/>
      <c r="AN44" s="16111"/>
      <c r="AO44" s="16111"/>
      <c r="AP44" s="16111"/>
      <c r="AQ44" s="16111"/>
      <c r="AR44" s="16112"/>
      <c r="AS44" s="1140" t="s">
        <v>666</v>
      </c>
      <c r="AU44" s="407"/>
      <c r="AV44" s="407" t="str">
        <f t="shared" si="1"/>
        <v>Наименование централизованной системы горячего водоснабжения</v>
      </c>
      <c r="AW44" s="407"/>
      <c r="AX44" s="407"/>
    </row>
    <row r="45" spans="1:50" ht="23.25" customHeight="1">
      <c r="A45" s="1240" t="s">
        <v>393</v>
      </c>
      <c r="B45" s="1240" t="s">
        <v>394</v>
      </c>
      <c r="C45" s="1240" t="s">
        <v>395</v>
      </c>
      <c r="D45" s="1240" t="s">
        <v>681</v>
      </c>
      <c r="E45" s="16125"/>
      <c r="F45" s="16125"/>
      <c r="G45" s="16125"/>
      <c r="H45" s="16125"/>
      <c r="I45" s="16122" t="str">
        <f>S44&amp;".1"</f>
        <v>...1</v>
      </c>
      <c r="J45" s="1240"/>
      <c r="K45" s="1240"/>
      <c r="L45" s="1241"/>
      <c r="P45" s="16123">
        <v>1</v>
      </c>
      <c r="Q45" s="1352"/>
      <c r="R45" s="272"/>
      <c r="S45" s="1364" t="str">
        <f>$I45</f>
        <v>...1</v>
      </c>
      <c r="T45" s="202" t="s">
        <v>618</v>
      </c>
      <c r="U45" s="217"/>
      <c r="V45" s="16183"/>
      <c r="W45" s="16184"/>
      <c r="X45" s="16184"/>
      <c r="Y45" s="16184"/>
      <c r="Z45" s="16184"/>
      <c r="AA45" s="16184"/>
      <c r="AB45" s="16184"/>
      <c r="AC45" s="16184"/>
      <c r="AD45" s="16184"/>
      <c r="AE45" s="16184"/>
      <c r="AF45" s="16185"/>
      <c r="AG45" s="16186"/>
      <c r="AH45" s="16187"/>
      <c r="AI45" s="16187"/>
      <c r="AJ45" s="16187"/>
      <c r="AK45" s="16187"/>
      <c r="AL45" s="16187"/>
      <c r="AM45" s="16187"/>
      <c r="AN45" s="16187"/>
      <c r="AO45" s="16187"/>
      <c r="AP45" s="16187"/>
      <c r="AQ45" s="16187"/>
      <c r="AR45" s="16188"/>
      <c r="AS45" s="1140" t="s">
        <v>619</v>
      </c>
      <c r="AU45" s="407"/>
      <c r="AV45" s="407" t="str">
        <f t="shared" si="1"/>
        <v>Наименование признака дифференциации</v>
      </c>
      <c r="AW45" s="407"/>
      <c r="AX45" s="407"/>
    </row>
    <row r="46" spans="1:50" ht="23.25" customHeight="1">
      <c r="A46" s="1240" t="s">
        <v>393</v>
      </c>
      <c r="B46" s="1240" t="s">
        <v>394</v>
      </c>
      <c r="C46" s="1240" t="s">
        <v>395</v>
      </c>
      <c r="D46" s="1240" t="s">
        <v>681</v>
      </c>
      <c r="E46" s="16125"/>
      <c r="F46" s="16125"/>
      <c r="G46" s="16125"/>
      <c r="H46" s="16125"/>
      <c r="I46" s="16145"/>
      <c r="J46" s="16122" t="str">
        <f>I45&amp;".1"</f>
        <v>...1.1</v>
      </c>
      <c r="K46" s="1240"/>
      <c r="L46" s="1241" t="s">
        <v>543</v>
      </c>
      <c r="P46" s="16123"/>
      <c r="Q46" s="16123">
        <v>1</v>
      </c>
      <c r="R46" s="273"/>
      <c r="S46" s="1364" t="str">
        <f>$J46</f>
        <v>...1.1</v>
      </c>
      <c r="T46" s="203" t="s">
        <v>544</v>
      </c>
      <c r="U46" s="217"/>
      <c r="V46" s="16113"/>
      <c r="W46" s="16114"/>
      <c r="X46" s="16114"/>
      <c r="Y46" s="16114"/>
      <c r="Z46" s="16114"/>
      <c r="AA46" s="16114"/>
      <c r="AB46" s="16114"/>
      <c r="AC46" s="16114"/>
      <c r="AD46" s="16114"/>
      <c r="AE46" s="16114"/>
      <c r="AF46" s="16115"/>
      <c r="AG46" s="16113"/>
      <c r="AH46" s="16114"/>
      <c r="AI46" s="16114"/>
      <c r="AJ46" s="16114"/>
      <c r="AK46" s="16114"/>
      <c r="AL46" s="16114"/>
      <c r="AM46" s="16114"/>
      <c r="AN46" s="16114"/>
      <c r="AO46" s="16114"/>
      <c r="AP46" s="16114"/>
      <c r="AQ46" s="16114"/>
      <c r="AR46" s="16115"/>
      <c r="AS46" s="1187" t="s">
        <v>620</v>
      </c>
      <c r="AU46" s="407"/>
      <c r="AV46" s="407" t="str">
        <f t="shared" si="1"/>
        <v>Группа потребителей</v>
      </c>
      <c r="AW46" s="407"/>
      <c r="AX46" s="407"/>
    </row>
    <row r="47" spans="1:50" ht="23.25" customHeight="1">
      <c r="A47" s="1240" t="s">
        <v>393</v>
      </c>
      <c r="B47" s="1240" t="s">
        <v>394</v>
      </c>
      <c r="C47" s="1240" t="s">
        <v>395</v>
      </c>
      <c r="D47" s="1240" t="s">
        <v>681</v>
      </c>
      <c r="E47" s="16125"/>
      <c r="F47" s="16125"/>
      <c r="G47" s="16125"/>
      <c r="H47" s="16125"/>
      <c r="I47" s="16145"/>
      <c r="J47" s="16145"/>
      <c r="K47" s="16122" t="str">
        <f>J46&amp;".1"</f>
        <v>...1.1.1</v>
      </c>
      <c r="L47" s="1241"/>
      <c r="P47" s="16123"/>
      <c r="Q47" s="16123"/>
      <c r="R47" s="273">
        <v>1</v>
      </c>
      <c r="S47" s="1364" t="str">
        <f>$K47</f>
        <v>...1.1.1</v>
      </c>
      <c r="T47" s="1313"/>
      <c r="U47" s="217"/>
      <c r="V47" s="1237"/>
      <c r="W47" s="1237"/>
      <c r="X47" s="1237"/>
      <c r="Y47" s="1237"/>
      <c r="Z47" s="1237"/>
      <c r="AA47" s="1237"/>
      <c r="AB47" s="1238"/>
      <c r="AC47" s="16129"/>
      <c r="AD47" s="16130" t="s">
        <v>66</v>
      </c>
      <c r="AE47" s="16129"/>
      <c r="AF47" s="16130" t="s">
        <v>66</v>
      </c>
      <c r="AG47" s="649"/>
      <c r="AH47" s="649"/>
      <c r="AI47" s="649"/>
      <c r="AJ47" s="649"/>
      <c r="AK47" s="649"/>
      <c r="AL47" s="649"/>
      <c r="AM47" s="1139"/>
      <c r="AN47" s="16127"/>
      <c r="AO47" s="15973" t="s">
        <v>66</v>
      </c>
      <c r="AP47" s="16146"/>
      <c r="AQ47" s="15973" t="s">
        <v>56</v>
      </c>
      <c r="AR47" s="1314"/>
      <c r="AS47" s="16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8" t="e">
        <f ca="1">STRCHECKDATE(V48:AR48)</f>
        <v>#NAME?</v>
      </c>
      <c r="AU47" s="407"/>
      <c r="AV47" s="407" t="str">
        <f t="shared" si="1"/>
        <v/>
      </c>
      <c r="AW47" s="407"/>
      <c r="AX47" s="407"/>
    </row>
    <row r="48" spans="1:50" ht="0" hidden="1" customHeight="1">
      <c r="A48" s="1240" t="s">
        <v>393</v>
      </c>
      <c r="B48" s="1240" t="s">
        <v>394</v>
      </c>
      <c r="C48" s="1240" t="s">
        <v>395</v>
      </c>
      <c r="D48" s="1240" t="s">
        <v>681</v>
      </c>
      <c r="E48" s="16125"/>
      <c r="F48" s="16125"/>
      <c r="G48" s="16125"/>
      <c r="H48" s="16125"/>
      <c r="I48" s="16145"/>
      <c r="J48" s="16145"/>
      <c r="K48" s="16122"/>
      <c r="L48" s="1241"/>
      <c r="P48" s="16123"/>
      <c r="Q48" s="16123"/>
      <c r="R48" s="273"/>
      <c r="S48" s="1361"/>
      <c r="T48" s="217"/>
      <c r="U48" s="217"/>
      <c r="V48" s="1237"/>
      <c r="W48" s="1237"/>
      <c r="X48" s="1237"/>
      <c r="Y48" s="1237"/>
      <c r="Z48" s="1237"/>
      <c r="AA48" s="1237"/>
      <c r="AB48" s="245" t="str">
        <f>AC47&amp;"-"&amp;AE47</f>
        <v>-</v>
      </c>
      <c r="AC48" s="16130"/>
      <c r="AD48" s="16130"/>
      <c r="AE48" s="16130"/>
      <c r="AF48" s="16130"/>
      <c r="AG48" s="242"/>
      <c r="AH48" s="242"/>
      <c r="AI48" s="242"/>
      <c r="AJ48" s="242"/>
      <c r="AK48" s="242"/>
      <c r="AL48" s="242"/>
      <c r="AM48" s="245" t="str">
        <f>AN47&amp;"-"&amp;AP47</f>
        <v>-</v>
      </c>
      <c r="AN48" s="16128"/>
      <c r="AO48" s="15973"/>
      <c r="AP48" s="16147"/>
      <c r="AQ48" s="15973"/>
      <c r="AR48" s="1315"/>
      <c r="AS48" s="16182"/>
      <c r="AU48" s="407"/>
      <c r="AV48" s="407" t="str">
        <f t="shared" si="1"/>
        <v/>
      </c>
      <c r="AW48" s="407"/>
      <c r="AX48" s="407"/>
    </row>
    <row r="49" spans="1:50" ht="21" customHeight="1">
      <c r="A49" s="1240" t="s">
        <v>393</v>
      </c>
      <c r="B49" s="1240" t="s">
        <v>394</v>
      </c>
      <c r="C49" s="1240" t="s">
        <v>395</v>
      </c>
      <c r="D49" s="1240" t="s">
        <v>681</v>
      </c>
      <c r="E49" s="16125"/>
      <c r="F49" s="16125"/>
      <c r="G49" s="16125"/>
      <c r="H49" s="16125"/>
      <c r="I49" s="16145"/>
      <c r="J49" s="16122"/>
      <c r="K49" s="1240"/>
      <c r="L49" s="1241"/>
      <c r="P49" s="16123"/>
      <c r="Q49" s="16123"/>
      <c r="R49" s="272"/>
      <c r="S49" s="1160"/>
      <c r="T49" s="204" t="s">
        <v>621</v>
      </c>
      <c r="U49" s="282"/>
      <c r="V49" s="282"/>
      <c r="W49" s="503"/>
      <c r="X49" s="503"/>
      <c r="Y49" s="503"/>
      <c r="Z49" s="503"/>
      <c r="AA49" s="503"/>
      <c r="AB49" s="282"/>
      <c r="AC49" s="282"/>
      <c r="AD49" s="282"/>
      <c r="AE49" s="282"/>
      <c r="AF49" s="282"/>
      <c r="AG49" s="282"/>
      <c r="AH49" s="503"/>
      <c r="AI49" s="503"/>
      <c r="AJ49" s="503"/>
      <c r="AK49" s="503"/>
      <c r="AL49" s="503"/>
      <c r="AM49" s="282"/>
      <c r="AN49" s="282"/>
      <c r="AO49" s="282"/>
      <c r="AP49" s="282"/>
      <c r="AQ49" s="282"/>
      <c r="AR49" s="282"/>
      <c r="AS49" s="1140" t="s">
        <v>622</v>
      </c>
      <c r="AU49" s="407"/>
      <c r="AV49" s="407" t="str">
        <f t="shared" si="1"/>
        <v>Добавить значение признака дифференциации</v>
      </c>
      <c r="AW49" s="407"/>
      <c r="AX49" s="407"/>
    </row>
    <row r="50" spans="1:50" ht="21" customHeight="1">
      <c r="A50" s="1240" t="s">
        <v>393</v>
      </c>
      <c r="B50" s="1240" t="s">
        <v>394</v>
      </c>
      <c r="C50" s="1240" t="s">
        <v>395</v>
      </c>
      <c r="D50" s="1240" t="s">
        <v>681</v>
      </c>
      <c r="E50" s="16125"/>
      <c r="F50" s="16125"/>
      <c r="G50" s="16125"/>
      <c r="H50" s="16125"/>
      <c r="I50" s="16122"/>
      <c r="J50" s="1240"/>
      <c r="K50" s="1240"/>
      <c r="L50" s="1241"/>
      <c r="P50" s="16123"/>
      <c r="Q50" s="1352"/>
      <c r="R50" s="272"/>
      <c r="S50" s="1160"/>
      <c r="T50" s="280" t="s">
        <v>549</v>
      </c>
      <c r="U50" s="282"/>
      <c r="V50" s="282"/>
      <c r="W50" s="503"/>
      <c r="X50" s="503"/>
      <c r="Y50" s="503"/>
      <c r="Z50" s="503"/>
      <c r="AA50" s="503"/>
      <c r="AB50" s="282"/>
      <c r="AC50" s="282"/>
      <c r="AD50" s="282"/>
      <c r="AE50" s="282"/>
      <c r="AF50" s="281"/>
      <c r="AG50" s="282"/>
      <c r="AH50" s="503"/>
      <c r="AI50" s="503"/>
      <c r="AJ50" s="503"/>
      <c r="AK50" s="503"/>
      <c r="AL50" s="503"/>
      <c r="AM50" s="282"/>
      <c r="AN50" s="282"/>
      <c r="AO50" s="282"/>
      <c r="AP50" s="282"/>
      <c r="AQ50" s="281"/>
      <c r="AR50" s="282"/>
      <c r="AS50" s="1316"/>
      <c r="AU50" s="407"/>
      <c r="AV50" s="407" t="str">
        <f t="shared" si="1"/>
        <v>Добавить группу потребителей</v>
      </c>
      <c r="AW50" s="407"/>
      <c r="AX50" s="407"/>
    </row>
    <row r="51" spans="1:50" ht="21" customHeight="1">
      <c r="A51" s="1240" t="s">
        <v>393</v>
      </c>
      <c r="B51" s="1240" t="s">
        <v>394</v>
      </c>
      <c r="C51" s="1240" t="s">
        <v>395</v>
      </c>
      <c r="D51" s="1240" t="s">
        <v>681</v>
      </c>
      <c r="E51" s="16125"/>
      <c r="F51" s="16125"/>
      <c r="G51" s="16125"/>
      <c r="H51" s="16124"/>
      <c r="I51" s="1240"/>
      <c r="J51" s="1240"/>
      <c r="K51" s="1240"/>
      <c r="L51" s="1241"/>
      <c r="M51" s="1242"/>
      <c r="N51" s="1242"/>
      <c r="O51" s="443"/>
      <c r="P51" s="276"/>
      <c r="Q51" s="290"/>
      <c r="R51" s="271"/>
      <c r="S51" s="1160"/>
      <c r="T51" s="287" t="s">
        <v>623</v>
      </c>
      <c r="U51" s="282"/>
      <c r="V51" s="282"/>
      <c r="W51" s="503"/>
      <c r="X51" s="503"/>
      <c r="Y51" s="503"/>
      <c r="Z51" s="503"/>
      <c r="AA51" s="503"/>
      <c r="AB51" s="282"/>
      <c r="AC51" s="282"/>
      <c r="AD51" s="282"/>
      <c r="AE51" s="282"/>
      <c r="AF51" s="281"/>
      <c r="AG51" s="282"/>
      <c r="AH51" s="503"/>
      <c r="AI51" s="503"/>
      <c r="AJ51" s="503"/>
      <c r="AK51" s="503"/>
      <c r="AL51" s="503"/>
      <c r="AM51" s="282"/>
      <c r="AN51" s="282"/>
      <c r="AO51" s="282"/>
      <c r="AP51" s="282"/>
      <c r="AQ51" s="281"/>
      <c r="AR51" s="282"/>
      <c r="AS51" s="220"/>
      <c r="AU51" s="407"/>
      <c r="AV51" s="407" t="str">
        <f t="shared" si="1"/>
        <v>Добавить наименование признака дифференциации</v>
      </c>
      <c r="AW51" s="407"/>
      <c r="AX51" s="407"/>
    </row>
    <row r="52" spans="1:50" s="14418" customFormat="1" ht="0" hidden="1" customHeight="1">
      <c r="A52" s="1221" t="s">
        <v>393</v>
      </c>
      <c r="B52" s="1221" t="s">
        <v>394</v>
      </c>
      <c r="C52" s="1193"/>
      <c r="D52" s="1193"/>
      <c r="E52" s="16125"/>
      <c r="F52" s="16124"/>
      <c r="G52" s="1193"/>
      <c r="H52" s="1193"/>
      <c r="I52" s="1193"/>
      <c r="J52" s="1193"/>
      <c r="K52" s="1193"/>
      <c r="L52" s="1365"/>
      <c r="M52" s="1200"/>
      <c r="N52" s="1200"/>
      <c r="P52" s="1195"/>
      <c r="Q52" s="1196"/>
      <c r="R52" s="1195"/>
      <c r="S52" s="1201"/>
      <c r="T52" s="1204" t="s">
        <v>290</v>
      </c>
      <c r="U52" s="1203"/>
      <c r="V52" s="1203"/>
      <c r="W52" s="1203"/>
      <c r="X52" s="1203"/>
      <c r="Y52" s="1203"/>
      <c r="Z52" s="1203"/>
      <c r="AA52" s="1203"/>
      <c r="AB52" s="1203"/>
      <c r="AC52" s="1203"/>
      <c r="AD52" s="1203"/>
      <c r="AE52" s="1203"/>
      <c r="AF52" s="1203"/>
      <c r="AG52" s="1203"/>
      <c r="AH52" s="1203"/>
      <c r="AI52" s="1203"/>
      <c r="AJ52" s="1203"/>
      <c r="AK52" s="1203"/>
      <c r="AL52" s="1203"/>
      <c r="AM52" s="1203"/>
      <c r="AN52" s="1203"/>
      <c r="AO52" s="1203"/>
      <c r="AP52" s="1203"/>
      <c r="AQ52" s="1203"/>
      <c r="AR52" s="1203"/>
      <c r="AS52" s="1203"/>
      <c r="AU52" s="687"/>
      <c r="AV52" s="687" t="str">
        <f t="shared" si="1"/>
        <v>Добавить централизованную систему для дифференциации</v>
      </c>
      <c r="AW52" s="687"/>
      <c r="AX52" s="687"/>
    </row>
    <row r="53" spans="1:50" s="14421" customFormat="1" ht="0" hidden="1" customHeight="1">
      <c r="A53" s="1221" t="s">
        <v>393</v>
      </c>
      <c r="B53" s="1221"/>
      <c r="C53" s="1221"/>
      <c r="D53" s="1221"/>
      <c r="E53" s="16124"/>
      <c r="F53" s="1221"/>
      <c r="G53" s="1221"/>
      <c r="H53" s="1221"/>
      <c r="I53" s="1221"/>
      <c r="J53" s="1221"/>
      <c r="K53" s="1221"/>
      <c r="L53" s="1224"/>
      <c r="M53" s="1200"/>
      <c r="N53" s="1200"/>
      <c r="O53" s="425"/>
      <c r="P53" s="295"/>
      <c r="Q53" s="1222"/>
      <c r="R53" s="295"/>
      <c r="S53" s="1201"/>
      <c r="T53" s="1204" t="s">
        <v>326</v>
      </c>
      <c r="U53" s="1203"/>
      <c r="V53" s="1203"/>
      <c r="W53" s="1203"/>
      <c r="X53" s="1203"/>
      <c r="Y53" s="1203"/>
      <c r="Z53" s="1203"/>
      <c r="AA53" s="1203"/>
      <c r="AB53" s="1203"/>
      <c r="AC53" s="1203"/>
      <c r="AD53" s="1203"/>
      <c r="AE53" s="1203"/>
      <c r="AF53" s="1203"/>
      <c r="AG53" s="1203"/>
      <c r="AH53" s="1203"/>
      <c r="AI53" s="1203"/>
      <c r="AJ53" s="1203"/>
      <c r="AK53" s="1203"/>
      <c r="AL53" s="1203"/>
      <c r="AM53" s="1203"/>
      <c r="AN53" s="1203"/>
      <c r="AO53" s="1203"/>
      <c r="AP53" s="1203"/>
      <c r="AQ53" s="1203"/>
      <c r="AR53" s="1203"/>
      <c r="AS53" s="1203"/>
      <c r="AU53" s="407"/>
      <c r="AV53" s="407" t="str">
        <f t="shared" si="1"/>
        <v>Добавить территорию для дифференциации</v>
      </c>
      <c r="AW53" s="407"/>
      <c r="AX53" s="407"/>
    </row>
    <row r="54" spans="1:50" s="14418" customFormat="1" ht="0" hidden="1" customHeight="1">
      <c r="A54" s="1193"/>
      <c r="B54" s="1193"/>
      <c r="C54" s="1193"/>
      <c r="D54" s="1193"/>
      <c r="E54" s="1221"/>
      <c r="F54" s="1193"/>
      <c r="G54" s="1193"/>
      <c r="H54" s="1193"/>
      <c r="I54" s="1193"/>
      <c r="J54" s="1193"/>
      <c r="K54" s="1193"/>
      <c r="L54" s="1365"/>
      <c r="M54" s="1200"/>
      <c r="N54" s="1200"/>
      <c r="P54" s="1195"/>
      <c r="Q54" s="1196"/>
      <c r="R54" s="1195"/>
      <c r="S54" s="1201"/>
      <c r="T54" s="1204" t="s">
        <v>390</v>
      </c>
      <c r="U54" s="1203"/>
      <c r="V54" s="1203"/>
      <c r="W54" s="1203"/>
      <c r="X54" s="1203"/>
      <c r="Y54" s="1203"/>
      <c r="Z54" s="1203"/>
      <c r="AA54" s="1203"/>
      <c r="AB54" s="1203"/>
      <c r="AC54" s="1203"/>
      <c r="AD54" s="1203"/>
      <c r="AE54" s="1203"/>
      <c r="AF54" s="1203"/>
      <c r="AG54" s="1203"/>
      <c r="AH54" s="1203"/>
      <c r="AI54" s="1203"/>
      <c r="AJ54" s="1203"/>
      <c r="AK54" s="1203"/>
      <c r="AL54" s="1203"/>
      <c r="AM54" s="1203"/>
      <c r="AN54" s="1203"/>
      <c r="AO54" s="1203"/>
      <c r="AP54" s="1203"/>
      <c r="AQ54" s="1203"/>
      <c r="AR54" s="1203"/>
      <c r="AS54" s="1203"/>
      <c r="AU54" s="687"/>
      <c r="AV54" s="687" t="str">
        <f t="shared" si="1"/>
        <v>Добавить наименование тарифа</v>
      </c>
      <c r="AW54" s="687"/>
      <c r="AX54" s="687"/>
    </row>
    <row r="55" spans="1:50" ht="11.25" customHeight="1">
      <c r="M55" s="1041"/>
      <c r="N55" s="1041"/>
      <c r="O55" s="443"/>
      <c r="P55" s="1036"/>
      <c r="Q55" s="1036"/>
      <c r="R55" s="1036"/>
      <c r="S55" s="1036"/>
      <c r="AT55" s="1036"/>
      <c r="AU55" s="1036"/>
      <c r="AV55" s="1036"/>
      <c r="AW55" s="1036"/>
      <c r="AX55" s="1036"/>
    </row>
    <row r="56" spans="1:50" ht="14.25" customHeight="1">
      <c r="O56" s="443"/>
      <c r="S56" s="1135"/>
      <c r="T56" s="16144"/>
      <c r="U56" s="16144"/>
      <c r="V56" s="16144"/>
      <c r="W56" s="16144"/>
      <c r="X56" s="16144"/>
      <c r="Y56" s="16144"/>
      <c r="Z56" s="16144"/>
      <c r="AA56" s="16144"/>
      <c r="AB56" s="16144"/>
      <c r="AC56" s="16144"/>
      <c r="AD56" s="16144"/>
      <c r="AE56" s="16144"/>
      <c r="AF56" s="16144"/>
      <c r="AG56" s="16144"/>
      <c r="AH56" s="16144"/>
      <c r="AI56" s="16144"/>
      <c r="AJ56" s="16144"/>
      <c r="AK56" s="16144"/>
      <c r="AL56" s="16144"/>
      <c r="AM56" s="16144"/>
      <c r="AN56" s="16144"/>
      <c r="AO56" s="16144"/>
      <c r="AP56" s="16144"/>
      <c r="AQ56" s="16144"/>
      <c r="AR56" s="16144"/>
      <c r="AS56" s="16144"/>
    </row>
    <row r="57" spans="1:50" ht="14.25" customHeight="1">
      <c r="O57" s="443"/>
    </row>
    <row r="58" spans="1:50" ht="14.25" customHeight="1">
      <c r="O58" s="443"/>
      <c r="S58" s="1135"/>
      <c r="T58" s="16144"/>
      <c r="U58" s="16144"/>
      <c r="V58" s="16144"/>
      <c r="W58" s="16144"/>
      <c r="X58" s="16144"/>
      <c r="Y58" s="16144"/>
      <c r="Z58" s="16144"/>
      <c r="AA58" s="16144"/>
      <c r="AB58" s="16144"/>
      <c r="AC58" s="16144"/>
      <c r="AD58" s="16144"/>
      <c r="AE58" s="16144"/>
      <c r="AF58" s="16144"/>
      <c r="AG58" s="16144"/>
      <c r="AH58" s="16144"/>
      <c r="AI58" s="16144"/>
      <c r="AJ58" s="16144"/>
      <c r="AK58" s="16144"/>
      <c r="AL58" s="16144"/>
      <c r="AM58" s="16144"/>
      <c r="AN58" s="16144"/>
      <c r="AO58" s="16144"/>
      <c r="AP58" s="16144"/>
      <c r="AQ58" s="16144"/>
      <c r="AR58" s="16144"/>
      <c r="AS58" s="16144"/>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4419" hidden="1" customWidth="1"/>
    <col min="2" max="2" width="11" style="14419" hidden="1" customWidth="1"/>
    <col min="3" max="3" width="10.5703125" style="14419" hidden="1"/>
    <col min="4" max="4" width="12.85546875" style="14419" hidden="1" customWidth="1"/>
    <col min="5" max="5" width="10" style="14419" hidden="1" customWidth="1"/>
    <col min="6" max="6" width="8.7109375" style="14419" hidden="1" customWidth="1"/>
    <col min="7" max="7" width="7.5703125" style="14419" hidden="1" customWidth="1"/>
    <col min="8" max="8" width="11.42578125" style="14419" hidden="1" customWidth="1"/>
    <col min="9" max="9" width="12" style="14419" hidden="1" customWidth="1"/>
    <col min="10" max="10" width="9.85546875" style="14419" hidden="1" customWidth="1"/>
    <col min="11" max="11" width="11.42578125" style="14419" hidden="1" customWidth="1"/>
    <col min="12" max="12" width="19.140625" style="14445" hidden="1" customWidth="1"/>
    <col min="13" max="14" width="12.28515625" style="14423" hidden="1" customWidth="1"/>
    <col min="15" max="15" width="23.42578125" style="14423" hidden="1" customWidth="1"/>
    <col min="16" max="16" width="3.7109375" style="14423" hidden="1" customWidth="1"/>
    <col min="17" max="17" width="3.7109375" style="14439" hidden="1" customWidth="1"/>
    <col min="18" max="18" width="3.7109375" style="14425" customWidth="1"/>
    <col min="19" max="19" width="12.7109375" style="14426" customWidth="1"/>
    <col min="20" max="20" width="32" style="14427" customWidth="1"/>
    <col min="21" max="21" width="0.140625" style="14427" customWidth="1"/>
    <col min="22" max="25" width="21.7109375" style="14427" hidden="1" customWidth="1"/>
    <col min="26" max="26" width="11.7109375" style="14427" hidden="1" customWidth="1"/>
    <col min="27" max="27" width="3.7109375" style="14427" hidden="1" customWidth="1"/>
    <col min="28" max="28" width="11.7109375" style="14427" hidden="1" customWidth="1"/>
    <col min="29" max="29" width="8.5703125" style="14427" hidden="1" customWidth="1"/>
    <col min="30" max="32" width="3.7109375" style="14427" customWidth="1"/>
    <col min="33" max="33" width="24.7109375" style="14427" customWidth="1"/>
    <col min="34" max="36" width="3.7109375" style="14427" customWidth="1"/>
    <col min="37" max="37" width="24.7109375" style="14427" customWidth="1"/>
    <col min="38" max="40" width="3.7109375" style="14427" customWidth="1"/>
    <col min="41" max="41" width="18.85546875" style="14427" customWidth="1"/>
    <col min="42" max="44" width="3.7109375" style="14427" customWidth="1"/>
    <col min="45" max="45" width="18.85546875" style="14427" customWidth="1"/>
    <col min="46" max="49" width="21.7109375" style="14427" customWidth="1"/>
    <col min="50" max="50" width="11.7109375" style="14427" customWidth="1"/>
    <col min="51" max="51" width="3.7109375" style="14427" customWidth="1"/>
    <col min="52" max="52" width="11.7109375" style="14427" customWidth="1"/>
    <col min="53" max="53" width="8.5703125" style="14427" hidden="1" customWidth="1"/>
    <col min="54" max="54" width="4.7109375" style="14427" customWidth="1"/>
    <col min="55" max="55" width="115.7109375" style="14427" customWidth="1"/>
    <col min="56" max="57" width="10.5703125" style="14421"/>
    <col min="58" max="58" width="11.140625" style="14421" customWidth="1"/>
    <col min="59" max="60" width="10.5703125" style="14421"/>
  </cols>
  <sheetData>
    <row r="1" spans="1:60" ht="14.25" hidden="1" customHeight="1">
      <c r="W1" s="244"/>
      <c r="Y1" s="244"/>
      <c r="Z1" s="244"/>
      <c r="AW1" s="244"/>
      <c r="AX1" s="244"/>
    </row>
    <row r="2" spans="1:60" ht="21" hidden="1" customHeight="1">
      <c r="A2" s="1240"/>
      <c r="B2" s="1240"/>
      <c r="C2" s="1240"/>
      <c r="D2" s="1240"/>
      <c r="E2" s="16124">
        <v>1</v>
      </c>
      <c r="F2" s="1240"/>
      <c r="G2" s="1240"/>
      <c r="H2" s="1240"/>
      <c r="I2" s="1240"/>
      <c r="J2" s="1240"/>
      <c r="K2" s="1240"/>
      <c r="L2" s="1241"/>
      <c r="M2" s="1242"/>
      <c r="N2" s="1242"/>
      <c r="O2" s="1242"/>
      <c r="P2" s="1286"/>
      <c r="Q2" s="767"/>
      <c r="R2" s="271"/>
      <c r="S2" s="1364" t="e">
        <f>INDEX(PT_DIFFERENTIATION_NUM_NTAR,MATCH(A2,PT_DIFFERENTIATION_NTAR_ID,0))</f>
        <v>#N/A</v>
      </c>
      <c r="T2" s="215" t="s">
        <v>158</v>
      </c>
      <c r="U2" s="217"/>
      <c r="V2" s="16111"/>
      <c r="W2" s="16111"/>
      <c r="X2" s="16111"/>
      <c r="Y2" s="16111"/>
      <c r="Z2" s="16111"/>
      <c r="AA2" s="16111"/>
      <c r="AB2" s="16111"/>
      <c r="AC2" s="16112"/>
      <c r="AD2" s="16110" t="e">
        <f>INDEX(PT_DIFFERENTIATION_NTAR,MATCH(A2,PT_DIFFERENTIATION_NTAR_ID,0))</f>
        <v>#N/A</v>
      </c>
      <c r="AE2" s="16111"/>
      <c r="AF2" s="16111"/>
      <c r="AG2" s="16111"/>
      <c r="AH2" s="16111"/>
      <c r="AI2" s="16111"/>
      <c r="AJ2" s="16111"/>
      <c r="AK2" s="16111"/>
      <c r="AL2" s="16111"/>
      <c r="AM2" s="16111"/>
      <c r="AN2" s="16111"/>
      <c r="AO2" s="16111"/>
      <c r="AP2" s="16111"/>
      <c r="AQ2" s="16111"/>
      <c r="AR2" s="16111"/>
      <c r="AS2" s="16111"/>
      <c r="AT2" s="16111"/>
      <c r="AU2" s="16111"/>
      <c r="AV2" s="16111"/>
      <c r="AW2" s="16111"/>
      <c r="AX2" s="16111"/>
      <c r="AY2" s="16111"/>
      <c r="AZ2" s="16111"/>
      <c r="BA2" s="16111"/>
      <c r="BB2" s="16112"/>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0"/>
      <c r="B3" s="1240"/>
      <c r="C3" s="1240"/>
      <c r="D3" s="1240"/>
      <c r="E3" s="16125"/>
      <c r="F3" s="16124">
        <v>1</v>
      </c>
      <c r="G3" s="1240"/>
      <c r="H3" s="1240"/>
      <c r="I3" s="1240"/>
      <c r="J3" s="1240"/>
      <c r="K3" s="1240"/>
      <c r="L3" s="1241"/>
      <c r="M3" s="1242"/>
      <c r="N3" s="1242"/>
      <c r="O3" s="1242"/>
      <c r="P3" s="1287"/>
      <c r="Q3" s="1288"/>
      <c r="R3" s="269"/>
      <c r="S3" s="1364" t="e">
        <f>INDEX(PT_DIFFERENTIATION_NUM_TER,MATCH(B3,PT_DIFFERENTIATION_TER_ID,0))</f>
        <v>#N/A</v>
      </c>
      <c r="T3" s="225" t="s">
        <v>534</v>
      </c>
      <c r="U3" s="217"/>
      <c r="V3" s="16111"/>
      <c r="W3" s="16111"/>
      <c r="X3" s="16111"/>
      <c r="Y3" s="16111"/>
      <c r="Z3" s="16111"/>
      <c r="AA3" s="16111"/>
      <c r="AB3" s="16111"/>
      <c r="AC3" s="16112"/>
      <c r="AD3" s="16110" t="e">
        <f>INDEX(PT_DIFFERENTIATION_TER,MATCH(B3,PT_DIFFERENTIATION_TER_ID,0))</f>
        <v>#N/A</v>
      </c>
      <c r="AE3" s="16111"/>
      <c r="AF3" s="16111"/>
      <c r="AG3" s="16111"/>
      <c r="AH3" s="16111"/>
      <c r="AI3" s="16111"/>
      <c r="AJ3" s="16111"/>
      <c r="AK3" s="16111"/>
      <c r="AL3" s="16111"/>
      <c r="AM3" s="16111"/>
      <c r="AN3" s="16111"/>
      <c r="AO3" s="16111"/>
      <c r="AP3" s="16111"/>
      <c r="AQ3" s="16111"/>
      <c r="AR3" s="16111"/>
      <c r="AS3" s="16111"/>
      <c r="AT3" s="16111"/>
      <c r="AU3" s="16111"/>
      <c r="AV3" s="16111"/>
      <c r="AW3" s="16111"/>
      <c r="AX3" s="16111"/>
      <c r="AY3" s="16111"/>
      <c r="AZ3" s="16111"/>
      <c r="BA3" s="16111"/>
      <c r="BB3" s="16112"/>
      <c r="BC3" s="1140" t="s">
        <v>535</v>
      </c>
      <c r="BE3" s="407"/>
      <c r="BF3" s="407" t="str">
        <f t="shared" si="0"/>
        <v>Территория действия тарифа</v>
      </c>
      <c r="BG3" s="407"/>
      <c r="BH3" s="407"/>
    </row>
    <row r="4" spans="1:60" ht="33.75" hidden="1" customHeight="1">
      <c r="A4" s="1240"/>
      <c r="B4" s="1240"/>
      <c r="C4" s="1240"/>
      <c r="D4" s="1240"/>
      <c r="E4" s="16125"/>
      <c r="F4" s="16125"/>
      <c r="G4" s="16124">
        <v>1</v>
      </c>
      <c r="H4" s="1240"/>
      <c r="I4" s="1240"/>
      <c r="J4" s="1240"/>
      <c r="K4" s="1240"/>
      <c r="L4" s="1241"/>
      <c r="M4" s="1242"/>
      <c r="N4" s="1242"/>
      <c r="O4" s="1242"/>
      <c r="P4" s="1289"/>
      <c r="Q4" s="1288"/>
      <c r="R4" s="269"/>
      <c r="S4" s="1364" t="e">
        <f>INDEX(PT_DIFFERENTIATION_NUM_CS,MATCH(C4,PT_DIFFERENTIATION_CS_ID,0))</f>
        <v>#N/A</v>
      </c>
      <c r="T4" s="226" t="s">
        <v>665</v>
      </c>
      <c r="U4" s="217"/>
      <c r="V4" s="16111"/>
      <c r="W4" s="16111"/>
      <c r="X4" s="16111"/>
      <c r="Y4" s="16111"/>
      <c r="Z4" s="16111"/>
      <c r="AA4" s="16111"/>
      <c r="AB4" s="16111"/>
      <c r="AC4" s="16112"/>
      <c r="AD4" s="16110" t="e">
        <f>INDEX(PT_DIFFERENTIATION_CS,MATCH(C4,PT_DIFFERENTIATION_CS_ID,0))</f>
        <v>#N/A</v>
      </c>
      <c r="AE4" s="16111"/>
      <c r="AF4" s="16111"/>
      <c r="AG4" s="16111"/>
      <c r="AH4" s="16111"/>
      <c r="AI4" s="16111"/>
      <c r="AJ4" s="16111"/>
      <c r="AK4" s="16111"/>
      <c r="AL4" s="16111"/>
      <c r="AM4" s="16111"/>
      <c r="AN4" s="16111"/>
      <c r="AO4" s="16111"/>
      <c r="AP4" s="16111"/>
      <c r="AQ4" s="16111"/>
      <c r="AR4" s="16111"/>
      <c r="AS4" s="16111"/>
      <c r="AT4" s="16111"/>
      <c r="AU4" s="16111"/>
      <c r="AV4" s="16111"/>
      <c r="AW4" s="16111"/>
      <c r="AX4" s="16111"/>
      <c r="AY4" s="16111"/>
      <c r="AZ4" s="16111"/>
      <c r="BA4" s="16111"/>
      <c r="BB4" s="16112"/>
      <c r="BC4" s="1140" t="s">
        <v>666</v>
      </c>
      <c r="BE4" s="407"/>
      <c r="BF4" s="407" t="str">
        <f t="shared" si="0"/>
        <v>Наименование централизованной системы горячего водоснабжения</v>
      </c>
      <c r="BG4" s="407"/>
      <c r="BH4" s="407"/>
    </row>
    <row r="5" spans="1:60" s="14421" customFormat="1" ht="14.25" hidden="1" customHeight="1">
      <c r="A5" s="1221"/>
      <c r="B5" s="1221"/>
      <c r="C5" s="1221"/>
      <c r="D5" s="1221"/>
      <c r="E5" s="16125"/>
      <c r="F5" s="16125"/>
      <c r="G5" s="16125"/>
      <c r="H5" s="16124">
        <v>1</v>
      </c>
      <c r="I5" s="1221"/>
      <c r="J5" s="1221"/>
      <c r="K5" s="1221"/>
      <c r="L5" s="1224"/>
      <c r="M5" s="1194"/>
      <c r="N5" s="1194"/>
      <c r="O5" s="1194"/>
      <c r="P5" s="1368"/>
      <c r="Q5" s="1369"/>
      <c r="R5" s="273"/>
      <c r="S5" s="930"/>
      <c r="T5" s="1370"/>
      <c r="U5" s="1261"/>
      <c r="V5" s="16154"/>
      <c r="W5" s="16154"/>
      <c r="X5" s="16154"/>
      <c r="Y5" s="16154"/>
      <c r="Z5" s="16154"/>
      <c r="AA5" s="16154"/>
      <c r="AB5" s="16154"/>
      <c r="AC5" s="16155"/>
      <c r="AD5" s="16153"/>
      <c r="AE5" s="16154"/>
      <c r="AF5" s="16154"/>
      <c r="AG5" s="16154"/>
      <c r="AH5" s="16154"/>
      <c r="AI5" s="16154"/>
      <c r="AJ5" s="16154"/>
      <c r="AK5" s="16154"/>
      <c r="AL5" s="16154"/>
      <c r="AM5" s="16154"/>
      <c r="AN5" s="16154"/>
      <c r="AO5" s="16154"/>
      <c r="AP5" s="16154"/>
      <c r="AQ5" s="16154"/>
      <c r="AR5" s="16154"/>
      <c r="AS5" s="16154"/>
      <c r="AT5" s="16154"/>
      <c r="AU5" s="16154"/>
      <c r="AV5" s="16154"/>
      <c r="AW5" s="16154"/>
      <c r="AX5" s="16154"/>
      <c r="AY5" s="16154"/>
      <c r="AZ5" s="16154"/>
      <c r="BA5" s="16154"/>
      <c r="BB5" s="16155"/>
      <c r="BC5" s="1262" t="s">
        <v>539</v>
      </c>
      <c r="BE5" s="407"/>
      <c r="BF5" s="407" t="str">
        <f t="shared" si="0"/>
        <v/>
      </c>
      <c r="BG5" s="407"/>
      <c r="BH5" s="407"/>
    </row>
    <row r="6" spans="1:60" s="14421" customFormat="1" ht="14.25" hidden="1" customHeight="1">
      <c r="A6" s="1221"/>
      <c r="B6" s="1221"/>
      <c r="C6" s="1221"/>
      <c r="D6" s="1221"/>
      <c r="E6" s="16125"/>
      <c r="F6" s="16125"/>
      <c r="G6" s="16125"/>
      <c r="H6" s="16125"/>
      <c r="I6" s="16122" t="str">
        <f>S5&amp;".1"</f>
        <v>.1</v>
      </c>
      <c r="J6" s="1221"/>
      <c r="K6" s="1221"/>
      <c r="L6" s="1224" t="s">
        <v>540</v>
      </c>
      <c r="M6" s="417"/>
      <c r="N6" s="417"/>
      <c r="O6" s="417"/>
      <c r="P6" s="16123">
        <v>1</v>
      </c>
      <c r="Q6" s="1352"/>
      <c r="R6" s="272"/>
      <c r="S6" s="930"/>
      <c r="T6" s="1260"/>
      <c r="U6" s="1261"/>
      <c r="V6" s="16154"/>
      <c r="W6" s="16154"/>
      <c r="X6" s="16154"/>
      <c r="Y6" s="16154"/>
      <c r="Z6" s="16154"/>
      <c r="AA6" s="16154"/>
      <c r="AB6" s="16154"/>
      <c r="AC6" s="16155"/>
      <c r="AD6" s="16153"/>
      <c r="AE6" s="16154"/>
      <c r="AF6" s="16154"/>
      <c r="AG6" s="16154"/>
      <c r="AH6" s="16154"/>
      <c r="AI6" s="16154"/>
      <c r="AJ6" s="16154"/>
      <c r="AK6" s="16154"/>
      <c r="AL6" s="16154"/>
      <c r="AM6" s="16154"/>
      <c r="AN6" s="16154"/>
      <c r="AO6" s="16154"/>
      <c r="AP6" s="16154"/>
      <c r="AQ6" s="16154"/>
      <c r="AR6" s="16154"/>
      <c r="AS6" s="16154"/>
      <c r="AT6" s="16154"/>
      <c r="AU6" s="16154"/>
      <c r="AV6" s="16154"/>
      <c r="AW6" s="16154"/>
      <c r="AX6" s="16154"/>
      <c r="AY6" s="16154"/>
      <c r="AZ6" s="16154"/>
      <c r="BA6" s="16154"/>
      <c r="BB6" s="16155"/>
      <c r="BC6" s="1262"/>
      <c r="BE6" s="407"/>
      <c r="BF6" s="407" t="str">
        <f t="shared" si="0"/>
        <v/>
      </c>
      <c r="BG6" s="407"/>
      <c r="BH6" s="407"/>
    </row>
    <row r="7" spans="1:60" s="14421" customFormat="1" ht="14.25" hidden="1" customHeight="1">
      <c r="A7" s="1221"/>
      <c r="B7" s="1221"/>
      <c r="C7" s="1221"/>
      <c r="D7" s="1221"/>
      <c r="E7" s="16125"/>
      <c r="F7" s="16125"/>
      <c r="G7" s="16125"/>
      <c r="H7" s="16125"/>
      <c r="I7" s="16145"/>
      <c r="J7" s="16122" t="str">
        <f>S5&amp;".1"</f>
        <v>.1</v>
      </c>
      <c r="K7" s="1221"/>
      <c r="L7" s="1224"/>
      <c r="M7" s="417"/>
      <c r="N7" s="417"/>
      <c r="O7" s="417"/>
      <c r="P7" s="16123"/>
      <c r="Q7" s="16123">
        <v>1</v>
      </c>
      <c r="R7" s="273"/>
      <c r="S7" s="930"/>
      <c r="T7" s="1276"/>
      <c r="U7" s="1261"/>
      <c r="V7" s="16154"/>
      <c r="W7" s="16154"/>
      <c r="X7" s="16154"/>
      <c r="Y7" s="16154"/>
      <c r="Z7" s="16154"/>
      <c r="AA7" s="16154"/>
      <c r="AB7" s="16154"/>
      <c r="AC7" s="16155"/>
      <c r="AD7" s="16153"/>
      <c r="AE7" s="16154"/>
      <c r="AF7" s="16154"/>
      <c r="AG7" s="16154"/>
      <c r="AH7" s="16154"/>
      <c r="AI7" s="16154"/>
      <c r="AJ7" s="16154"/>
      <c r="AK7" s="16154"/>
      <c r="AL7" s="16154"/>
      <c r="AM7" s="16154"/>
      <c r="AN7" s="16154"/>
      <c r="AO7" s="16154"/>
      <c r="AP7" s="16154"/>
      <c r="AQ7" s="16154"/>
      <c r="AR7" s="16154"/>
      <c r="AS7" s="16154"/>
      <c r="AT7" s="16154"/>
      <c r="AU7" s="16154"/>
      <c r="AV7" s="16154"/>
      <c r="AW7" s="16154"/>
      <c r="AX7" s="16154"/>
      <c r="AY7" s="16154"/>
      <c r="AZ7" s="16154"/>
      <c r="BA7" s="16154"/>
      <c r="BB7" s="16155"/>
      <c r="BC7" s="1262"/>
      <c r="BE7" s="407"/>
      <c r="BF7" s="407" t="str">
        <f t="shared" si="0"/>
        <v/>
      </c>
      <c r="BG7" s="407"/>
      <c r="BH7" s="407"/>
    </row>
    <row r="8" spans="1:60" ht="11.25" hidden="1" customHeight="1">
      <c r="A8" s="1240"/>
      <c r="B8" s="1240"/>
      <c r="C8" s="1240"/>
      <c r="D8" s="1240"/>
      <c r="E8" s="16125"/>
      <c r="F8" s="16125"/>
      <c r="G8" s="16125"/>
      <c r="H8" s="16125"/>
      <c r="I8" s="16145"/>
      <c r="J8" s="16145"/>
      <c r="K8" s="16122" t="e">
        <f>S4&amp;".1"</f>
        <v>#N/A</v>
      </c>
      <c r="L8" s="1241"/>
      <c r="P8" s="16123"/>
      <c r="Q8" s="16123"/>
      <c r="R8" s="16180">
        <v>1</v>
      </c>
      <c r="S8" s="16174" t="e">
        <f>$K8</f>
        <v>#N/A</v>
      </c>
      <c r="T8" s="16193"/>
      <c r="U8" s="217"/>
      <c r="V8" s="649"/>
      <c r="W8" s="1139"/>
      <c r="X8" s="649"/>
      <c r="Y8" s="1139"/>
      <c r="Z8" s="1596"/>
      <c r="AA8" s="1341" t="s">
        <v>66</v>
      </c>
      <c r="AB8" s="1596"/>
      <c r="AC8" s="1341" t="s">
        <v>66</v>
      </c>
      <c r="AD8" s="16044" t="s">
        <v>66</v>
      </c>
      <c r="AE8" s="16160"/>
      <c r="AF8" s="16080">
        <v>1</v>
      </c>
      <c r="AG8" s="16197"/>
      <c r="AH8" s="15973" t="s">
        <v>66</v>
      </c>
      <c r="AI8" s="16160"/>
      <c r="AJ8" s="16080">
        <v>1</v>
      </c>
      <c r="AK8" s="16196" t="s">
        <v>24</v>
      </c>
      <c r="AL8" s="15973" t="s">
        <v>66</v>
      </c>
      <c r="AM8" s="16070"/>
      <c r="AN8" s="16080">
        <v>1</v>
      </c>
      <c r="AO8" s="16190"/>
      <c r="AP8" s="16191" t="s">
        <v>66</v>
      </c>
      <c r="AQ8" s="228"/>
      <c r="AR8" s="1357">
        <v>1</v>
      </c>
      <c r="AS8" s="1363" t="s">
        <v>24</v>
      </c>
      <c r="AT8" s="649"/>
      <c r="AU8" s="1139"/>
      <c r="AV8" s="649"/>
      <c r="AW8" s="1139"/>
      <c r="AX8" s="1596"/>
      <c r="AY8" s="1341" t="s">
        <v>66</v>
      </c>
      <c r="AZ8" s="1596"/>
      <c r="BA8" s="1341" t="s">
        <v>66</v>
      </c>
      <c r="BB8" s="1226"/>
      <c r="BC8" s="16119" t="s">
        <v>636</v>
      </c>
      <c r="BE8" s="407"/>
      <c r="BF8" s="407" t="str">
        <f t="shared" si="0"/>
        <v/>
      </c>
      <c r="BG8" s="407"/>
      <c r="BH8" s="407"/>
    </row>
    <row r="9" spans="1:60" ht="11.25" hidden="1" customHeight="1">
      <c r="A9" s="1240"/>
      <c r="B9" s="1240"/>
      <c r="C9" s="1240"/>
      <c r="D9" s="1240"/>
      <c r="E9" s="16125"/>
      <c r="F9" s="16125"/>
      <c r="G9" s="16125"/>
      <c r="H9" s="16125"/>
      <c r="I9" s="16145"/>
      <c r="J9" s="16145"/>
      <c r="K9" s="16122"/>
      <c r="L9" s="1241"/>
      <c r="P9" s="16123"/>
      <c r="Q9" s="16123"/>
      <c r="R9" s="16180"/>
      <c r="S9" s="16175"/>
      <c r="T9" s="16194"/>
      <c r="U9" s="217"/>
      <c r="V9" s="1270"/>
      <c r="W9" s="1367"/>
      <c r="X9" s="1270"/>
      <c r="Y9" s="1367"/>
      <c r="Z9" s="1270"/>
      <c r="AA9" s="1270"/>
      <c r="AB9" s="1270"/>
      <c r="AC9" s="1270"/>
      <c r="AD9" s="16045"/>
      <c r="AE9" s="16160"/>
      <c r="AF9" s="16080"/>
      <c r="AG9" s="16197"/>
      <c r="AH9" s="15973"/>
      <c r="AI9" s="16160"/>
      <c r="AJ9" s="16080"/>
      <c r="AK9" s="16196"/>
      <c r="AL9" s="15973"/>
      <c r="AM9" s="16075"/>
      <c r="AN9" s="16080"/>
      <c r="AO9" s="16190"/>
      <c r="AP9" s="16192"/>
      <c r="AQ9" s="233"/>
      <c r="AR9" s="331"/>
      <c r="AS9" s="331" t="s">
        <v>637</v>
      </c>
      <c r="AT9" s="1270"/>
      <c r="AU9" s="1367"/>
      <c r="AV9" s="1270"/>
      <c r="AW9" s="1367"/>
      <c r="AX9" s="1270"/>
      <c r="AY9" s="1270"/>
      <c r="AZ9" s="1270"/>
      <c r="BA9" s="1270"/>
      <c r="BB9" s="1274"/>
      <c r="BC9" s="16120"/>
      <c r="BE9" s="407"/>
      <c r="BF9" s="407"/>
      <c r="BG9" s="407"/>
      <c r="BH9" s="407"/>
    </row>
    <row r="10" spans="1:60" ht="11.25" hidden="1" customHeight="1">
      <c r="A10" s="1240"/>
      <c r="B10" s="1240"/>
      <c r="C10" s="1240"/>
      <c r="D10" s="1240"/>
      <c r="E10" s="16125"/>
      <c r="F10" s="16125"/>
      <c r="G10" s="16125"/>
      <c r="H10" s="16125"/>
      <c r="I10" s="16145"/>
      <c r="J10" s="16145"/>
      <c r="K10" s="16122"/>
      <c r="L10" s="1241"/>
      <c r="P10" s="16123"/>
      <c r="Q10" s="16123"/>
      <c r="R10" s="16180"/>
      <c r="S10" s="16175"/>
      <c r="T10" s="16194"/>
      <c r="U10" s="217"/>
      <c r="V10" s="1270"/>
      <c r="W10" s="1367"/>
      <c r="X10" s="1270"/>
      <c r="Y10" s="1367"/>
      <c r="Z10" s="1270"/>
      <c r="AA10" s="1270"/>
      <c r="AB10" s="1270"/>
      <c r="AC10" s="1270"/>
      <c r="AD10" s="16045"/>
      <c r="AE10" s="16160"/>
      <c r="AF10" s="16080"/>
      <c r="AG10" s="16197"/>
      <c r="AH10" s="15973"/>
      <c r="AI10" s="16160"/>
      <c r="AJ10" s="16080"/>
      <c r="AK10" s="16196"/>
      <c r="AL10" s="15973"/>
      <c r="AM10" s="233"/>
      <c r="AN10" s="1371"/>
      <c r="AO10" s="1371" t="s">
        <v>638</v>
      </c>
      <c r="AP10" s="331"/>
      <c r="AQ10" s="331"/>
      <c r="AR10" s="331"/>
      <c r="AS10" s="1270"/>
      <c r="AT10" s="1270"/>
      <c r="AU10" s="1367"/>
      <c r="AV10" s="1270"/>
      <c r="AW10" s="1367"/>
      <c r="AX10" s="1270"/>
      <c r="AY10" s="1270"/>
      <c r="AZ10" s="1270"/>
      <c r="BA10" s="1270"/>
      <c r="BB10" s="1274"/>
      <c r="BC10" s="16120"/>
      <c r="BE10" s="407"/>
      <c r="BF10" s="407"/>
      <c r="BG10" s="407"/>
      <c r="BH10" s="407"/>
    </row>
    <row r="11" spans="1:60" ht="11.25" hidden="1" customHeight="1">
      <c r="A11" s="1240"/>
      <c r="B11" s="1240"/>
      <c r="C11" s="1240"/>
      <c r="D11" s="1240"/>
      <c r="E11" s="16125"/>
      <c r="F11" s="16125"/>
      <c r="G11" s="16125"/>
      <c r="H11" s="16125"/>
      <c r="I11" s="16145"/>
      <c r="J11" s="16145"/>
      <c r="K11" s="16122"/>
      <c r="L11" s="1241"/>
      <c r="P11" s="16123"/>
      <c r="Q11" s="16123"/>
      <c r="R11" s="16180"/>
      <c r="S11" s="16175"/>
      <c r="T11" s="16194"/>
      <c r="U11" s="217"/>
      <c r="V11" s="1270"/>
      <c r="W11" s="1367"/>
      <c r="X11" s="1270"/>
      <c r="Y11" s="1367"/>
      <c r="Z11" s="1270"/>
      <c r="AA11" s="1270"/>
      <c r="AB11" s="1270"/>
      <c r="AC11" s="1270"/>
      <c r="AD11" s="16045"/>
      <c r="AE11" s="16160"/>
      <c r="AF11" s="16080"/>
      <c r="AG11" s="16197"/>
      <c r="AH11" s="15973"/>
      <c r="AI11" s="211"/>
      <c r="AJ11" s="330"/>
      <c r="AK11" s="230" t="s">
        <v>639</v>
      </c>
      <c r="AL11" s="1270"/>
      <c r="AM11" s="1270"/>
      <c r="AN11" s="1270"/>
      <c r="AO11" s="1270"/>
      <c r="AP11" s="1270"/>
      <c r="AQ11" s="1270"/>
      <c r="AR11" s="1270"/>
      <c r="AS11" s="1270"/>
      <c r="AT11" s="1270"/>
      <c r="AU11" s="1367"/>
      <c r="AV11" s="1270"/>
      <c r="AW11" s="1367"/>
      <c r="AX11" s="1270"/>
      <c r="AY11" s="1270"/>
      <c r="AZ11" s="1270"/>
      <c r="BA11" s="1270"/>
      <c r="BB11" s="1274"/>
      <c r="BC11" s="16120"/>
      <c r="BE11" s="407"/>
      <c r="BF11" s="407"/>
      <c r="BG11" s="407"/>
      <c r="BH11" s="407"/>
    </row>
    <row r="12" spans="1:60" ht="11.25" hidden="1" customHeight="1">
      <c r="A12" s="1240"/>
      <c r="B12" s="1240"/>
      <c r="C12" s="1240"/>
      <c r="D12" s="1240"/>
      <c r="E12" s="16125"/>
      <c r="F12" s="16125"/>
      <c r="G12" s="16125"/>
      <c r="H12" s="16125"/>
      <c r="I12" s="16145"/>
      <c r="J12" s="16145"/>
      <c r="K12" s="16122"/>
      <c r="L12" s="1241"/>
      <c r="P12" s="16123"/>
      <c r="Q12" s="16123"/>
      <c r="R12" s="16180"/>
      <c r="S12" s="16176"/>
      <c r="T12" s="16195"/>
      <c r="U12" s="217"/>
      <c r="V12" s="1270"/>
      <c r="W12" s="1271" t="str">
        <f>Z8&amp;"-"&amp;AB8</f>
        <v>-</v>
      </c>
      <c r="X12" s="1270"/>
      <c r="Y12" s="1271" t="str">
        <f>AB8&amp;"-"&amp;AD8</f>
        <v>-да</v>
      </c>
      <c r="Z12" s="1270"/>
      <c r="AA12" s="1270"/>
      <c r="AB12" s="1270"/>
      <c r="AC12" s="1270"/>
      <c r="AD12" s="15978"/>
      <c r="AE12" s="229"/>
      <c r="AF12" s="231"/>
      <c r="AG12" s="331" t="s">
        <v>640</v>
      </c>
      <c r="AH12" s="1270"/>
      <c r="AI12" s="1270"/>
      <c r="AJ12" s="1270"/>
      <c r="AK12" s="1270"/>
      <c r="AL12" s="1270"/>
      <c r="AM12" s="1270"/>
      <c r="AN12" s="1270"/>
      <c r="AO12" s="1270"/>
      <c r="AP12" s="1270"/>
      <c r="AQ12" s="1270"/>
      <c r="AR12" s="1270"/>
      <c r="AS12" s="1270"/>
      <c r="AT12" s="1270"/>
      <c r="AU12" s="1271" t="str">
        <f>AX8&amp;"-"&amp;AZ8</f>
        <v>-</v>
      </c>
      <c r="AV12" s="1270"/>
      <c r="AW12" s="1271" t="str">
        <f>AZ8&amp;"-"&amp;BB8</f>
        <v>-</v>
      </c>
      <c r="AX12" s="1270"/>
      <c r="AY12" s="1270"/>
      <c r="AZ12" s="1270"/>
      <c r="BA12" s="1270"/>
      <c r="BB12" s="1273" t="str">
        <f>BE8&amp;"-"&amp;BG8</f>
        <v>-</v>
      </c>
      <c r="BC12" s="16120"/>
      <c r="BE12" s="407"/>
      <c r="BF12" s="407" t="str">
        <f t="shared" ref="BF12:BF18" si="1">IF(T12="","",T12)</f>
        <v/>
      </c>
      <c r="BG12" s="407"/>
      <c r="BH12" s="407"/>
    </row>
    <row r="13" spans="1:60" ht="11.25" hidden="1" customHeight="1">
      <c r="A13" s="1240"/>
      <c r="B13" s="1240"/>
      <c r="C13" s="1240"/>
      <c r="D13" s="1240"/>
      <c r="E13" s="16125"/>
      <c r="F13" s="16125"/>
      <c r="G13" s="16125"/>
      <c r="H13" s="16125"/>
      <c r="I13" s="16145"/>
      <c r="J13" s="16122"/>
      <c r="K13" s="1240"/>
      <c r="L13" s="1241"/>
      <c r="P13" s="16123"/>
      <c r="Q13" s="16123"/>
      <c r="R13" s="272"/>
      <c r="S13" s="1160"/>
      <c r="T13" s="204" t="s">
        <v>602</v>
      </c>
      <c r="U13" s="282"/>
      <c r="V13" s="282"/>
      <c r="W13" s="282"/>
      <c r="X13" s="282"/>
      <c r="Y13" s="282"/>
      <c r="Z13" s="282"/>
      <c r="AA13" s="282"/>
      <c r="AB13" s="282"/>
      <c r="AC13" s="282"/>
      <c r="AD13" s="1376"/>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16121"/>
      <c r="BE13" s="407"/>
      <c r="BF13" s="407" t="str">
        <f t="shared" si="1"/>
        <v>Добавить строку</v>
      </c>
      <c r="BG13" s="407"/>
      <c r="BH13" s="407"/>
    </row>
    <row r="14" spans="1:60" s="14421" customFormat="1" ht="14.25" hidden="1" customHeight="1">
      <c r="A14" s="1221"/>
      <c r="B14" s="1221"/>
      <c r="C14" s="1221"/>
      <c r="D14" s="1221"/>
      <c r="E14" s="16125"/>
      <c r="F14" s="16125"/>
      <c r="G14" s="16125"/>
      <c r="H14" s="16125"/>
      <c r="I14" s="16122"/>
      <c r="J14" s="1221"/>
      <c r="K14" s="1221"/>
      <c r="L14" s="1224"/>
      <c r="M14" s="417"/>
      <c r="N14" s="417"/>
      <c r="O14" s="417"/>
      <c r="P14" s="16123"/>
      <c r="Q14" s="1352"/>
      <c r="R14" s="272"/>
      <c r="S14" s="1263"/>
      <c r="T14" s="1264"/>
      <c r="U14" s="1265"/>
      <c r="V14" s="1265"/>
      <c r="W14" s="1265"/>
      <c r="X14" s="1265"/>
      <c r="Y14" s="1265"/>
      <c r="Z14" s="1265"/>
      <c r="AA14" s="1265"/>
      <c r="AB14" s="1265"/>
      <c r="AC14" s="1265"/>
      <c r="AD14" s="1265"/>
      <c r="AE14" s="1265"/>
      <c r="AF14" s="1265"/>
      <c r="AG14" s="1265"/>
      <c r="AH14" s="1265"/>
      <c r="AI14" s="1265"/>
      <c r="AJ14" s="1265"/>
      <c r="AK14" s="1265"/>
      <c r="AL14" s="1265"/>
      <c r="AM14" s="1265"/>
      <c r="AN14" s="1265"/>
      <c r="AO14" s="1265"/>
      <c r="AP14" s="1265"/>
      <c r="AQ14" s="1265"/>
      <c r="AR14" s="1265"/>
      <c r="AS14" s="1265"/>
      <c r="AT14" s="1265"/>
      <c r="AU14" s="1265"/>
      <c r="AV14" s="1265"/>
      <c r="AW14" s="1265"/>
      <c r="AX14" s="1265"/>
      <c r="AY14" s="1265"/>
      <c r="AZ14" s="1265"/>
      <c r="BA14" s="1265"/>
      <c r="BB14" s="1265"/>
      <c r="BC14" s="1266"/>
      <c r="BE14" s="407"/>
      <c r="BF14" s="407" t="str">
        <f t="shared" si="1"/>
        <v/>
      </c>
      <c r="BG14" s="407"/>
      <c r="BH14" s="407"/>
    </row>
    <row r="15" spans="1:60" s="14421" customFormat="1" ht="14.25" hidden="1" customHeight="1">
      <c r="A15" s="1221"/>
      <c r="B15" s="1221"/>
      <c r="C15" s="1221"/>
      <c r="D15" s="1221"/>
      <c r="E15" s="16125"/>
      <c r="F15" s="16125"/>
      <c r="G15" s="16125"/>
      <c r="H15" s="16124"/>
      <c r="I15" s="1221"/>
      <c r="J15" s="1221"/>
      <c r="K15" s="1221"/>
      <c r="L15" s="1224"/>
      <c r="M15" s="1194"/>
      <c r="N15" s="1194"/>
      <c r="O15" s="425"/>
      <c r="P15" s="295"/>
      <c r="Q15" s="1222"/>
      <c r="R15" s="1278"/>
      <c r="S15" s="1263"/>
      <c r="T15" s="1264"/>
      <c r="U15" s="1265"/>
      <c r="V15" s="1265"/>
      <c r="W15" s="1265"/>
      <c r="X15" s="1265"/>
      <c r="Y15" s="1265"/>
      <c r="Z15" s="1265"/>
      <c r="AA15" s="1265"/>
      <c r="AB15" s="1265"/>
      <c r="AC15" s="1265"/>
      <c r="AD15" s="1265"/>
      <c r="AE15" s="1265"/>
      <c r="AF15" s="1265"/>
      <c r="AG15" s="1265"/>
      <c r="AH15" s="1265"/>
      <c r="AI15" s="1265"/>
      <c r="AJ15" s="1265"/>
      <c r="AK15" s="1265"/>
      <c r="AL15" s="1265"/>
      <c r="AM15" s="1265"/>
      <c r="AN15" s="1265"/>
      <c r="AO15" s="1265"/>
      <c r="AP15" s="1265"/>
      <c r="AQ15" s="1265"/>
      <c r="AR15" s="1265"/>
      <c r="AS15" s="1265"/>
      <c r="AT15" s="1265"/>
      <c r="AU15" s="1265"/>
      <c r="AV15" s="1265"/>
      <c r="AW15" s="1265"/>
      <c r="AX15" s="1265"/>
      <c r="AY15" s="1265"/>
      <c r="AZ15" s="1265"/>
      <c r="BA15" s="1265"/>
      <c r="BB15" s="1265"/>
      <c r="BC15" s="1266"/>
      <c r="BE15" s="407"/>
      <c r="BF15" s="407" t="str">
        <f t="shared" si="1"/>
        <v/>
      </c>
      <c r="BG15" s="407"/>
      <c r="BH15" s="407"/>
    </row>
    <row r="16" spans="1:60" s="14418" customFormat="1" ht="14.25" hidden="1" customHeight="1">
      <c r="A16" s="1221"/>
      <c r="B16" s="1221"/>
      <c r="C16" s="1221"/>
      <c r="D16" s="1193"/>
      <c r="E16" s="16125"/>
      <c r="F16" s="16125"/>
      <c r="G16" s="16124"/>
      <c r="H16" s="1193"/>
      <c r="I16" s="1193"/>
      <c r="J16" s="1193"/>
      <c r="K16" s="1193"/>
      <c r="L16" s="1365"/>
      <c r="M16" s="1194"/>
      <c r="N16" s="1194"/>
      <c r="P16" s="1195"/>
      <c r="Q16" s="1196"/>
      <c r="R16" s="1195"/>
      <c r="S16" s="1201"/>
      <c r="T16" s="1204"/>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E16" s="687"/>
      <c r="BF16" s="687" t="str">
        <f t="shared" si="1"/>
        <v/>
      </c>
      <c r="BG16" s="687"/>
      <c r="BH16" s="687"/>
    </row>
    <row r="17" spans="1:60" s="14418" customFormat="1" ht="14.25" hidden="1" customHeight="1">
      <c r="A17" s="1221"/>
      <c r="B17" s="1221"/>
      <c r="C17" s="1193"/>
      <c r="D17" s="1193"/>
      <c r="E17" s="16125"/>
      <c r="F17" s="16124"/>
      <c r="G17" s="1193"/>
      <c r="H17" s="1193"/>
      <c r="I17" s="1193"/>
      <c r="J17" s="1193"/>
      <c r="K17" s="1193"/>
      <c r="L17" s="1365"/>
      <c r="M17" s="1200"/>
      <c r="N17" s="1200"/>
      <c r="P17" s="1195"/>
      <c r="Q17" s="1196"/>
      <c r="R17" s="1195"/>
      <c r="S17" s="1201"/>
      <c r="T17" s="1204" t="s">
        <v>290</v>
      </c>
      <c r="U17" s="1203"/>
      <c r="V17" s="1203"/>
      <c r="W17" s="1203"/>
      <c r="X17" s="1203"/>
      <c r="Y17" s="1203"/>
      <c r="Z17" s="1203"/>
      <c r="AA17" s="1203"/>
      <c r="AB17" s="1203"/>
      <c r="AC17" s="1203"/>
      <c r="AD17" s="1203"/>
      <c r="AE17" s="1203"/>
      <c r="AF17" s="1203"/>
      <c r="AG17" s="1203"/>
      <c r="AH17" s="1203"/>
      <c r="AI17" s="1203"/>
      <c r="AJ17" s="1203"/>
      <c r="AK17" s="1203"/>
      <c r="AL17" s="1203"/>
      <c r="AM17" s="1203"/>
      <c r="AN17" s="1203"/>
      <c r="AO17" s="1203"/>
      <c r="AP17" s="1203"/>
      <c r="AQ17" s="1203"/>
      <c r="AR17" s="1203"/>
      <c r="AS17" s="1203"/>
      <c r="AT17" s="1203"/>
      <c r="AU17" s="1203"/>
      <c r="AV17" s="1203"/>
      <c r="AW17" s="1203"/>
      <c r="AX17" s="1203"/>
      <c r="AY17" s="1203"/>
      <c r="AZ17" s="1203"/>
      <c r="BA17" s="1203"/>
      <c r="BB17" s="1203"/>
      <c r="BC17" s="1203"/>
      <c r="BE17" s="687"/>
      <c r="BF17" s="687" t="str">
        <f t="shared" si="1"/>
        <v>Добавить централизованную систему для дифференциации</v>
      </c>
      <c r="BG17" s="687"/>
      <c r="BH17" s="687"/>
    </row>
    <row r="18" spans="1:60" s="14421" customFormat="1" ht="14.25" hidden="1" customHeight="1">
      <c r="A18" s="1221"/>
      <c r="B18" s="1221"/>
      <c r="C18" s="1221"/>
      <c r="D18" s="1221"/>
      <c r="E18" s="16124"/>
      <c r="F18" s="1221"/>
      <c r="G18" s="1221"/>
      <c r="H18" s="1221"/>
      <c r="I18" s="1221"/>
      <c r="J18" s="1221"/>
      <c r="K18" s="1221"/>
      <c r="L18" s="1224"/>
      <c r="M18" s="1200"/>
      <c r="N18" s="1200"/>
      <c r="O18" s="425"/>
      <c r="P18" s="295"/>
      <c r="Q18" s="1222"/>
      <c r="R18" s="295"/>
      <c r="S18" s="1201"/>
      <c r="T18" s="1204" t="s">
        <v>326</v>
      </c>
      <c r="U18" s="1203"/>
      <c r="V18" s="1203"/>
      <c r="W18" s="1203"/>
      <c r="X18" s="1203"/>
      <c r="Y18" s="1203"/>
      <c r="Z18" s="1203"/>
      <c r="AA18" s="1203"/>
      <c r="AB18" s="1203"/>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3" t="s">
        <v>56</v>
      </c>
      <c r="AE20" s="1372"/>
      <c r="AF20" s="454">
        <v>1</v>
      </c>
      <c r="AG20" s="1373"/>
      <c r="AH20" s="1203" t="s">
        <v>56</v>
      </c>
      <c r="AI20" s="1372"/>
      <c r="AJ20" s="454">
        <v>1</v>
      </c>
      <c r="AK20" s="1373"/>
      <c r="AL20" s="1203" t="s">
        <v>56</v>
      </c>
      <c r="AM20" s="1374"/>
      <c r="AN20" s="454">
        <v>1</v>
      </c>
      <c r="AO20" s="1375"/>
      <c r="AP20" s="1203" t="s">
        <v>56</v>
      </c>
      <c r="AQ20" s="1374"/>
      <c r="AR20" s="454">
        <v>1</v>
      </c>
      <c r="AS20" s="1375"/>
      <c r="AT20" s="242"/>
      <c r="AU20" s="299"/>
      <c r="AV20" s="242"/>
      <c r="AW20" s="299"/>
      <c r="AX20" s="1598"/>
      <c r="AY20" s="1356" t="s">
        <v>66</v>
      </c>
      <c r="AZ20" s="1598"/>
      <c r="BA20" s="1356" t="s">
        <v>66</v>
      </c>
    </row>
    <row r="21" spans="1:60" ht="14.25" hidden="1" customHeight="1">
      <c r="BD21" s="403"/>
      <c r="BE21" s="403"/>
      <c r="BF21" s="403"/>
      <c r="BG21" s="403"/>
      <c r="BH21" s="403"/>
    </row>
    <row r="22" spans="1:60" ht="14.25" hidden="1" customHeight="1">
      <c r="O22" s="1244" t="s">
        <v>552</v>
      </c>
      <c r="Z22" s="1223"/>
      <c r="AB22" s="1223"/>
      <c r="AC22" s="244"/>
      <c r="AX22" s="1223"/>
      <c r="AZ22" s="1223"/>
      <c r="BA22" s="244"/>
      <c r="BD22" s="403"/>
      <c r="BE22" s="403"/>
      <c r="BF22" s="403"/>
      <c r="BG22" s="403"/>
      <c r="BH22" s="403"/>
    </row>
    <row r="23" spans="1:60" ht="14.25" hidden="1" customHeight="1">
      <c r="AC23" s="244"/>
      <c r="BA23" s="244"/>
      <c r="BD23" s="403"/>
      <c r="BE23" s="403"/>
      <c r="BF23" s="403"/>
      <c r="BG23" s="403"/>
      <c r="BH23" s="403"/>
    </row>
    <row r="24" spans="1:60" s="14438" customFormat="1" ht="14.25" hidden="1" customHeight="1">
      <c r="M24" s="1379"/>
      <c r="N24" s="1379"/>
      <c r="O24" s="1380" t="s">
        <v>553</v>
      </c>
      <c r="P24" s="1379"/>
      <c r="Q24" s="1381"/>
      <c r="R24" s="1381"/>
      <c r="AA24" s="1378" t="s">
        <v>555</v>
      </c>
      <c r="AC24" s="1378" t="s">
        <v>556</v>
      </c>
      <c r="AD24" s="1378" t="s">
        <v>603</v>
      </c>
      <c r="AH24" s="1378" t="s">
        <v>603</v>
      </c>
      <c r="AK24" s="1378" t="s">
        <v>641</v>
      </c>
      <c r="AL24" s="1378" t="s">
        <v>603</v>
      </c>
      <c r="AP24" s="1378" t="s">
        <v>603</v>
      </c>
      <c r="AY24" s="1378" t="s">
        <v>555</v>
      </c>
      <c r="BA24" s="1378" t="s">
        <v>556</v>
      </c>
      <c r="BD24" s="1382"/>
      <c r="BE24" s="1382"/>
      <c r="BF24" s="1382"/>
      <c r="BG24" s="1382"/>
      <c r="BH24" s="1382"/>
    </row>
    <row r="25" spans="1:60" ht="14.25" hidden="1" customHeight="1">
      <c r="O25" s="1241"/>
      <c r="BD25" s="403"/>
      <c r="BE25" s="403"/>
      <c r="BF25" s="403"/>
      <c r="BG25" s="403"/>
      <c r="BH25" s="403"/>
    </row>
    <row r="26" spans="1:60" ht="14.25" hidden="1" customHeight="1">
      <c r="O26" s="1241"/>
      <c r="BD26" s="403"/>
      <c r="BE26" s="403"/>
      <c r="BF26" s="403"/>
      <c r="BG26" s="403"/>
      <c r="BH26" s="403"/>
    </row>
    <row r="27" spans="1:60" ht="14.25" customHeight="1">
      <c r="Q27" s="208"/>
      <c r="R27" s="291"/>
      <c r="S27" s="1157"/>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1610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6108"/>
      <c r="U28" s="16108"/>
      <c r="V28" s="16108"/>
      <c r="W28" s="16108"/>
      <c r="X28" s="16108"/>
      <c r="Y28" s="16108"/>
      <c r="Z28" s="16108"/>
      <c r="AA28" s="16108"/>
      <c r="AB28" s="16108"/>
      <c r="AC28" s="16108"/>
      <c r="AD28" s="16108"/>
      <c r="AE28" s="16108"/>
      <c r="AF28" s="16108"/>
      <c r="AG28" s="16108"/>
      <c r="AH28" s="16108"/>
      <c r="AI28" s="16108"/>
      <c r="AJ28" s="16108"/>
      <c r="AK28" s="16108"/>
      <c r="AL28" s="16108"/>
      <c r="AM28" s="16108"/>
      <c r="AN28" s="16108"/>
      <c r="AO28" s="16108"/>
      <c r="AP28" s="16108"/>
      <c r="AQ28" s="16108"/>
      <c r="AR28" s="16108"/>
      <c r="AS28" s="16108"/>
      <c r="AT28" s="16108"/>
      <c r="AU28" s="16108"/>
      <c r="AV28" s="16108"/>
      <c r="AW28" s="16108"/>
      <c r="AX28" s="16108"/>
      <c r="AY28" s="16108"/>
      <c r="AZ28" s="16108"/>
      <c r="BA28" s="1125"/>
    </row>
    <row r="29" spans="1:60" ht="14.25" customHeight="1">
      <c r="Q29" s="208"/>
      <c r="R29" s="291"/>
      <c r="S29" s="16056" t="str">
        <f>IF(org=0,"Не определено",org)</f>
        <v>АО "Мурманэнергосбыт"</v>
      </c>
      <c r="T29" s="16056"/>
      <c r="U29" s="16056"/>
      <c r="V29" s="16056"/>
      <c r="W29" s="16056"/>
      <c r="X29" s="16056"/>
      <c r="Y29" s="16056"/>
      <c r="Z29" s="16056"/>
      <c r="AA29" s="16056"/>
      <c r="AB29" s="16056"/>
      <c r="AC29" s="16056"/>
      <c r="AD29" s="16056"/>
      <c r="AE29" s="16056"/>
      <c r="AF29" s="16056"/>
      <c r="AG29" s="16056"/>
      <c r="AH29" s="16056"/>
      <c r="AI29" s="16056"/>
      <c r="AJ29" s="16056"/>
      <c r="AK29" s="16056"/>
      <c r="AL29" s="16056"/>
      <c r="AM29" s="16056"/>
      <c r="AN29" s="16056"/>
      <c r="AO29" s="16056"/>
      <c r="AP29" s="16056"/>
      <c r="AQ29" s="16056"/>
      <c r="AR29" s="16056"/>
      <c r="AS29" s="16056"/>
      <c r="AT29" s="16056"/>
      <c r="AU29" s="16056"/>
      <c r="AV29" s="16056"/>
      <c r="AW29" s="16056"/>
      <c r="AX29" s="16056"/>
      <c r="AY29" s="16056"/>
      <c r="AZ29" s="16056"/>
      <c r="BA29" s="1125"/>
    </row>
    <row r="30" spans="1:60" ht="14.25" customHeight="1">
      <c r="Q30" s="208"/>
      <c r="R30" s="291"/>
      <c r="S30" s="1157"/>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4420" customFormat="1" ht="25.5" customHeight="1">
      <c r="A31" s="1245"/>
      <c r="B31" s="1245"/>
      <c r="C31" s="1245"/>
      <c r="D31" s="1245"/>
      <c r="E31" s="1245"/>
      <c r="F31" s="1245"/>
      <c r="G31" s="1245"/>
      <c r="H31" s="1245"/>
      <c r="I31" s="1245"/>
      <c r="J31" s="1245"/>
      <c r="K31" s="1245"/>
      <c r="L31" s="1246"/>
      <c r="M31" s="1245"/>
      <c r="N31" s="1245"/>
      <c r="O31" s="1245"/>
      <c r="P31" s="1245"/>
      <c r="Q31" s="1245"/>
      <c r="S31" s="16116" t="s">
        <v>38</v>
      </c>
      <c r="T31" s="16116"/>
      <c r="U31" s="1249"/>
      <c r="V31" s="16117" t="str">
        <f>IF(TITLE_NAME_OR_PR_CHANGE="",IF(TITLE_NAME_OR_PR="","",TITLE_NAME_OR_PR),TITLE_NAME_OR_PR_CHANGE)</f>
        <v>Комитет по тарифному регулированию Мурманской области</v>
      </c>
      <c r="W31" s="16117"/>
      <c r="X31" s="16117"/>
      <c r="Y31" s="16117"/>
      <c r="Z31" s="16117"/>
      <c r="AA31" s="16117"/>
      <c r="AB31" s="16117"/>
      <c r="AC31" s="243"/>
      <c r="AD31" s="16117" t="str">
        <f>IF(TITLE_NAME_OR_PR_CHANGE="",IF(TITLE_NAME_OR_PR="","",TITLE_NAME_OR_PR),TITLE_NAME_OR_PR_CHANGE)</f>
        <v>Комитет по тарифному регулированию Мурманской области</v>
      </c>
      <c r="AE31" s="16117"/>
      <c r="AF31" s="16117"/>
      <c r="AG31" s="16117"/>
      <c r="AH31" s="16117"/>
      <c r="AI31" s="16117"/>
      <c r="AJ31" s="16117"/>
      <c r="AK31" s="16117"/>
      <c r="AL31" s="16117"/>
      <c r="AM31" s="16117"/>
      <c r="AN31" s="16117"/>
      <c r="AO31" s="16117"/>
      <c r="AP31" s="16117"/>
      <c r="AQ31" s="16117"/>
      <c r="AR31" s="16117"/>
      <c r="AS31" s="16117"/>
      <c r="AT31" s="16117"/>
      <c r="AU31" s="16117"/>
      <c r="AV31" s="16117"/>
      <c r="AW31" s="16117"/>
      <c r="AX31" s="16117"/>
      <c r="AY31" s="16117"/>
      <c r="AZ31" s="16117"/>
      <c r="BA31" s="243"/>
      <c r="BB31" s="243"/>
      <c r="BC31" s="198"/>
      <c r="BD31" s="283"/>
      <c r="BE31" s="283"/>
      <c r="BF31" s="283"/>
      <c r="BG31" s="283"/>
      <c r="BH31" s="283"/>
    </row>
    <row r="32" spans="1:60" s="14420" customFormat="1" ht="18.75" customHeight="1">
      <c r="A32" s="1245"/>
      <c r="B32" s="1245"/>
      <c r="C32" s="1245"/>
      <c r="D32" s="1245"/>
      <c r="E32" s="1245"/>
      <c r="F32" s="1245"/>
      <c r="G32" s="1245"/>
      <c r="H32" s="1245"/>
      <c r="I32" s="1245"/>
      <c r="J32" s="1245"/>
      <c r="K32" s="1245"/>
      <c r="L32" s="1246"/>
      <c r="M32" s="1245"/>
      <c r="N32" s="1245"/>
      <c r="O32" s="1245"/>
      <c r="P32" s="1245"/>
      <c r="Q32" s="1245"/>
      <c r="S32" s="16116" t="s">
        <v>558</v>
      </c>
      <c r="T32" s="16116"/>
      <c r="U32" s="1249"/>
      <c r="V32" s="16126">
        <f>IF(TITLE_DATE_PR_CHANGE="",IF(TITLE_DATE_PR="","",TITLE_DATE_PR),TITLE_DATE_PR_CHANGE)</f>
        <v>45379</v>
      </c>
      <c r="W32" s="16126"/>
      <c r="X32" s="16126"/>
      <c r="Y32" s="16126"/>
      <c r="Z32" s="16126"/>
      <c r="AA32" s="16126"/>
      <c r="AB32" s="16126"/>
      <c r="AC32" s="243"/>
      <c r="AD32" s="16126">
        <f>IF(TITLE_DATE_PR_CHANGE="",IF(TITLE_DATE_PR="","",TITLE_DATE_PR),TITLE_DATE_PR_CHANGE)</f>
        <v>45379</v>
      </c>
      <c r="AE32" s="16126"/>
      <c r="AF32" s="16126"/>
      <c r="AG32" s="16126"/>
      <c r="AH32" s="16126"/>
      <c r="AI32" s="16126"/>
      <c r="AJ32" s="16126"/>
      <c r="AK32" s="16126"/>
      <c r="AL32" s="16126"/>
      <c r="AM32" s="16126"/>
      <c r="AN32" s="16126"/>
      <c r="AO32" s="16126"/>
      <c r="AP32" s="16126"/>
      <c r="AQ32" s="16126"/>
      <c r="AR32" s="16126"/>
      <c r="AS32" s="16126"/>
      <c r="AT32" s="16126"/>
      <c r="AU32" s="16126"/>
      <c r="AV32" s="16126"/>
      <c r="AW32" s="16126"/>
      <c r="AX32" s="16126"/>
      <c r="AY32" s="16126"/>
      <c r="AZ32" s="16126"/>
      <c r="BA32" s="243"/>
      <c r="BB32" s="243"/>
      <c r="BC32" s="198"/>
      <c r="BD32" s="283"/>
      <c r="BE32" s="283"/>
      <c r="BF32" s="283"/>
      <c r="BG32" s="283"/>
      <c r="BH32" s="283"/>
    </row>
    <row r="33" spans="1:60" s="14420" customFormat="1" ht="18.75" customHeight="1">
      <c r="A33" s="1245"/>
      <c r="B33" s="1245"/>
      <c r="C33" s="1245"/>
      <c r="D33" s="1245"/>
      <c r="E33" s="1245"/>
      <c r="F33" s="1245"/>
      <c r="G33" s="1245"/>
      <c r="H33" s="1245"/>
      <c r="I33" s="1245"/>
      <c r="J33" s="1245"/>
      <c r="K33" s="1245"/>
      <c r="L33" s="1246"/>
      <c r="M33" s="1245"/>
      <c r="N33" s="1245"/>
      <c r="O33" s="1245"/>
      <c r="P33" s="1245"/>
      <c r="Q33" s="1245"/>
      <c r="S33" s="16116" t="s">
        <v>559</v>
      </c>
      <c r="T33" s="16116"/>
      <c r="U33" s="1249"/>
      <c r="V33" s="16117" t="str">
        <f>IF(TITLE_NUMBER_PR_CHANGE="",IF(TITLE_NUMBER_PR="","",TITLE_NUMBER_PR),TITLE_NUMBER_PR_CHANGE)</f>
        <v>8/6</v>
      </c>
      <c r="W33" s="16117"/>
      <c r="X33" s="16117"/>
      <c r="Y33" s="16117"/>
      <c r="Z33" s="16117"/>
      <c r="AA33" s="16117"/>
      <c r="AB33" s="16117"/>
      <c r="AC33" s="243"/>
      <c r="AD33" s="16117" t="str">
        <f>IF(TITLE_NUMBER_PR_CHANGE="",IF(TITLE_NUMBER_PR="","",TITLE_NUMBER_PR),TITLE_NUMBER_PR_CHANGE)</f>
        <v>8/6</v>
      </c>
      <c r="AE33" s="16117"/>
      <c r="AF33" s="16117"/>
      <c r="AG33" s="16117"/>
      <c r="AH33" s="16117"/>
      <c r="AI33" s="16117"/>
      <c r="AJ33" s="16117"/>
      <c r="AK33" s="16117"/>
      <c r="AL33" s="16117"/>
      <c r="AM33" s="16117"/>
      <c r="AN33" s="16117"/>
      <c r="AO33" s="16117"/>
      <c r="AP33" s="16117"/>
      <c r="AQ33" s="16117"/>
      <c r="AR33" s="16117"/>
      <c r="AS33" s="16117"/>
      <c r="AT33" s="16117"/>
      <c r="AU33" s="16117"/>
      <c r="AV33" s="16117"/>
      <c r="AW33" s="16117"/>
      <c r="AX33" s="16117"/>
      <c r="AY33" s="16117"/>
      <c r="AZ33" s="16117"/>
      <c r="BA33" s="243"/>
      <c r="BB33" s="243"/>
      <c r="BC33" s="198"/>
      <c r="BD33" s="283"/>
      <c r="BE33" s="283"/>
      <c r="BF33" s="283"/>
      <c r="BG33" s="283"/>
      <c r="BH33" s="283"/>
    </row>
    <row r="34" spans="1:60" s="14420" customFormat="1" ht="18.75" customHeight="1">
      <c r="A34" s="1245"/>
      <c r="B34" s="1245"/>
      <c r="C34" s="1245"/>
      <c r="D34" s="1245"/>
      <c r="E34" s="1245"/>
      <c r="F34" s="1245"/>
      <c r="G34" s="1245"/>
      <c r="H34" s="1245"/>
      <c r="I34" s="1245"/>
      <c r="J34" s="1245"/>
      <c r="K34" s="1245"/>
      <c r="L34" s="1246"/>
      <c r="M34" s="1245"/>
      <c r="N34" s="1245"/>
      <c r="O34" s="1245"/>
      <c r="P34" s="1245"/>
      <c r="Q34" s="1245"/>
      <c r="S34" s="16116" t="s">
        <v>40</v>
      </c>
      <c r="T34" s="16116"/>
      <c r="U34" s="1249"/>
      <c r="V34" s="16117" t="str">
        <f>IF(TITLE_IST_PUB_CHANGE="",IF(TITLE_IST_PUB="","",TITLE_IST_PUB),TITLE_IST_PUB_CHANGE)</f>
        <v>https://npa.gov-murman.ru/bitrix/components/b1team/govmurman.element.file/download.php?ID=518761&amp;FID=765125</v>
      </c>
      <c r="W34" s="16117"/>
      <c r="X34" s="16117"/>
      <c r="Y34" s="16117"/>
      <c r="Z34" s="16117"/>
      <c r="AA34" s="16117"/>
      <c r="AB34" s="16117"/>
      <c r="AC34" s="243"/>
      <c r="AD34" s="16117" t="str">
        <f>IF(TITLE_IST_PUB_CHANGE="",IF(TITLE_IST_PUB="","",TITLE_IST_PUB),TITLE_IST_PUB_CHANGE)</f>
        <v>https://npa.gov-murman.ru/bitrix/components/b1team/govmurman.element.file/download.php?ID=518761&amp;FID=765125</v>
      </c>
      <c r="AE34" s="16117"/>
      <c r="AF34" s="16117"/>
      <c r="AG34" s="16117"/>
      <c r="AH34" s="16117"/>
      <c r="AI34" s="16117"/>
      <c r="AJ34" s="16117"/>
      <c r="AK34" s="16117"/>
      <c r="AL34" s="16117"/>
      <c r="AM34" s="16117"/>
      <c r="AN34" s="16117"/>
      <c r="AO34" s="16117"/>
      <c r="AP34" s="16117"/>
      <c r="AQ34" s="16117"/>
      <c r="AR34" s="16117"/>
      <c r="AS34" s="16117"/>
      <c r="AT34" s="16117"/>
      <c r="AU34" s="16117"/>
      <c r="AV34" s="16117"/>
      <c r="AW34" s="16117"/>
      <c r="AX34" s="16117"/>
      <c r="AY34" s="16117"/>
      <c r="AZ34" s="16117"/>
      <c r="BA34" s="243"/>
      <c r="BB34" s="243"/>
      <c r="BC34" s="198"/>
      <c r="BD34" s="283"/>
      <c r="BE34" s="283"/>
      <c r="BF34" s="283"/>
      <c r="BG34" s="283"/>
      <c r="BH34" s="283"/>
    </row>
    <row r="35" spans="1:60" ht="14.25" hidden="1" customHeight="1">
      <c r="Q35" s="208"/>
      <c r="R35" s="291"/>
      <c r="S35" s="1157"/>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4420" customFormat="1" ht="18.75" hidden="1" customHeight="1">
      <c r="A36" s="1245"/>
      <c r="B36" s="1245"/>
      <c r="C36" s="1245"/>
      <c r="D36" s="1245"/>
      <c r="E36" s="1245"/>
      <c r="F36" s="1245"/>
      <c r="G36" s="1245"/>
      <c r="H36" s="1245"/>
      <c r="I36" s="1245"/>
      <c r="J36" s="1245"/>
      <c r="K36" s="1245"/>
      <c r="L36" s="1246"/>
      <c r="M36" s="1245"/>
      <c r="N36" s="1245"/>
      <c r="O36" s="1245"/>
      <c r="P36" s="1245"/>
      <c r="Q36" s="1245"/>
      <c r="S36" s="16116" t="s">
        <v>558</v>
      </c>
      <c r="T36" s="16116"/>
      <c r="U36" s="1249"/>
      <c r="V36" s="16126">
        <f>IF(TITLE_DATE_PR_CHANGE="",IF(TITLE_DATE_PR="","",TITLE_DATE_PR),TITLE_DATE_PR_CHANGE)</f>
        <v>45379</v>
      </c>
      <c r="W36" s="16126"/>
      <c r="X36" s="16126"/>
      <c r="Y36" s="16126"/>
      <c r="Z36" s="16126"/>
      <c r="AA36" s="16126"/>
      <c r="AB36" s="16126"/>
      <c r="AC36" s="243"/>
      <c r="AD36" s="16126">
        <f>IF(TITLE_DATE_PR_CHANGE="",IF(TITLE_DATE_PR="","",TITLE_DATE_PR),TITLE_DATE_PR_CHANGE)</f>
        <v>45379</v>
      </c>
      <c r="AE36" s="16126"/>
      <c r="AF36" s="16126"/>
      <c r="AG36" s="16126"/>
      <c r="AH36" s="16126"/>
      <c r="AI36" s="16126"/>
      <c r="AJ36" s="16126"/>
      <c r="AK36" s="16126"/>
      <c r="AL36" s="16126"/>
      <c r="AM36" s="16126"/>
      <c r="AN36" s="16126"/>
      <c r="AO36" s="16126"/>
      <c r="AP36" s="16126"/>
      <c r="AQ36" s="16126"/>
      <c r="AR36" s="16126"/>
      <c r="AS36" s="16126"/>
      <c r="AT36" s="16126"/>
      <c r="AU36" s="16126"/>
      <c r="AV36" s="16126"/>
      <c r="AW36" s="16126"/>
      <c r="AX36" s="16126"/>
      <c r="AY36" s="16126"/>
      <c r="AZ36" s="16126"/>
      <c r="BA36" s="243"/>
      <c r="BB36" s="243"/>
      <c r="BC36" s="198"/>
      <c r="BD36" s="283"/>
      <c r="BE36" s="283"/>
      <c r="BF36" s="283"/>
      <c r="BG36" s="283"/>
      <c r="BH36" s="283"/>
    </row>
    <row r="37" spans="1:60" s="14420" customFormat="1" ht="18.75" hidden="1" customHeight="1">
      <c r="A37" s="1245"/>
      <c r="B37" s="1245"/>
      <c r="C37" s="1245"/>
      <c r="D37" s="1245"/>
      <c r="E37" s="1245"/>
      <c r="F37" s="1245"/>
      <c r="G37" s="1245"/>
      <c r="H37" s="1245"/>
      <c r="I37" s="1245"/>
      <c r="J37" s="1245"/>
      <c r="K37" s="1245"/>
      <c r="L37" s="1246"/>
      <c r="M37" s="1245"/>
      <c r="N37" s="1245"/>
      <c r="O37" s="1245"/>
      <c r="P37" s="1245"/>
      <c r="Q37" s="1245"/>
      <c r="S37" s="16116" t="s">
        <v>559</v>
      </c>
      <c r="T37" s="16116"/>
      <c r="U37" s="1249"/>
      <c r="V37" s="16117" t="str">
        <f>IF(TITLE_NUMBER_PR_CHANGE="",IF(TITLE_NUMBER_PR="","",TITLE_NUMBER_PR),TITLE_NUMBER_PR_CHANGE)</f>
        <v>8/6</v>
      </c>
      <c r="W37" s="16117"/>
      <c r="X37" s="16117"/>
      <c r="Y37" s="16117"/>
      <c r="Z37" s="16117"/>
      <c r="AA37" s="16117"/>
      <c r="AB37" s="16117"/>
      <c r="AC37" s="243"/>
      <c r="AD37" s="16117" t="str">
        <f>IF(TITLE_NUMBER_PR_CHANGE="",IF(TITLE_NUMBER_PR="","",TITLE_NUMBER_PR),TITLE_NUMBER_PR_CHANGE)</f>
        <v>8/6</v>
      </c>
      <c r="AE37" s="16117"/>
      <c r="AF37" s="16117"/>
      <c r="AG37" s="16117"/>
      <c r="AH37" s="16117"/>
      <c r="AI37" s="16117"/>
      <c r="AJ37" s="16117"/>
      <c r="AK37" s="16117"/>
      <c r="AL37" s="16117"/>
      <c r="AM37" s="16117"/>
      <c r="AN37" s="16117"/>
      <c r="AO37" s="16117"/>
      <c r="AP37" s="16117"/>
      <c r="AQ37" s="16117"/>
      <c r="AR37" s="16117"/>
      <c r="AS37" s="16117"/>
      <c r="AT37" s="16117"/>
      <c r="AU37" s="16117"/>
      <c r="AV37" s="16117"/>
      <c r="AW37" s="16117"/>
      <c r="AX37" s="16117"/>
      <c r="AY37" s="16117"/>
      <c r="AZ37" s="16117"/>
      <c r="BA37" s="243"/>
      <c r="BB37" s="243"/>
      <c r="BC37" s="198"/>
      <c r="BD37" s="283"/>
      <c r="BE37" s="283"/>
      <c r="BF37" s="283"/>
      <c r="BG37" s="283"/>
      <c r="BH37" s="283"/>
    </row>
    <row r="38" spans="1:60" s="14420" customFormat="1" ht="0" hidden="1" customHeight="1">
      <c r="A38" s="1245"/>
      <c r="B38" s="1245"/>
      <c r="C38" s="1245"/>
      <c r="D38" s="1245"/>
      <c r="E38" s="1245"/>
      <c r="F38" s="1245"/>
      <c r="G38" s="1245"/>
      <c r="H38" s="1245"/>
      <c r="I38" s="1245"/>
      <c r="J38" s="1245"/>
      <c r="K38" s="1245"/>
      <c r="L38" s="1246"/>
      <c r="M38" s="1245"/>
      <c r="N38" s="1245"/>
      <c r="O38" s="1245"/>
      <c r="P38" s="1245"/>
      <c r="Q38" s="1245"/>
      <c r="S38" s="240"/>
      <c r="T38" s="240"/>
      <c r="U38" s="1359"/>
      <c r="V38" s="243"/>
      <c r="W38" s="243"/>
      <c r="X38" s="243"/>
      <c r="Y38" s="243"/>
      <c r="Z38" s="243"/>
      <c r="AA38" s="243"/>
      <c r="AB38" s="243"/>
      <c r="AC38" s="196" t="s">
        <v>562</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562</v>
      </c>
      <c r="BD38" s="283"/>
      <c r="BE38" s="283"/>
      <c r="BF38" s="283"/>
      <c r="BG38" s="283"/>
      <c r="BH38" s="283"/>
    </row>
    <row r="39" spans="1:60" ht="14.25" customHeight="1">
      <c r="Q39" s="208"/>
      <c r="R39" s="291"/>
      <c r="S39" s="1157"/>
      <c r="T39" s="279"/>
      <c r="U39" s="1126"/>
      <c r="V39" s="16118"/>
      <c r="W39" s="16118"/>
      <c r="X39" s="16118"/>
      <c r="Y39" s="16118"/>
      <c r="Z39" s="16118"/>
      <c r="AA39" s="16118"/>
      <c r="AB39" s="16118"/>
      <c r="AC39" s="16118"/>
      <c r="AD39" s="16118"/>
      <c r="AE39" s="16118"/>
      <c r="AF39" s="16118"/>
      <c r="AG39" s="16118"/>
      <c r="AH39" s="16118"/>
      <c r="AI39" s="16118"/>
      <c r="AJ39" s="16118"/>
      <c r="AK39" s="16118"/>
      <c r="AL39" s="16118"/>
      <c r="AM39" s="16118"/>
      <c r="AN39" s="16118"/>
      <c r="AO39" s="16118"/>
      <c r="AP39" s="16118"/>
      <c r="AQ39" s="16118"/>
      <c r="AR39" s="16118"/>
      <c r="AS39" s="16118"/>
      <c r="AT39" s="16118"/>
      <c r="AU39" s="16118"/>
      <c r="AV39" s="16118"/>
      <c r="AW39" s="16118"/>
      <c r="AX39" s="16118"/>
      <c r="AY39" s="16118"/>
      <c r="AZ39" s="16118"/>
      <c r="BA39" s="16118"/>
    </row>
    <row r="40" spans="1:60" ht="14.25" customHeight="1">
      <c r="Q40" s="208"/>
      <c r="R40" s="291"/>
      <c r="S40" s="15992" t="s">
        <v>437</v>
      </c>
      <c r="T40" s="15992"/>
      <c r="U40" s="15992"/>
      <c r="V40" s="15992"/>
      <c r="W40" s="15992"/>
      <c r="X40" s="15992"/>
      <c r="Y40" s="15992"/>
      <c r="Z40" s="15992"/>
      <c r="AA40" s="15992"/>
      <c r="AB40" s="15992"/>
      <c r="AC40" s="15992"/>
      <c r="AD40" s="15992"/>
      <c r="AE40" s="15992"/>
      <c r="AF40" s="15992"/>
      <c r="AG40" s="15992"/>
      <c r="AH40" s="15992"/>
      <c r="AI40" s="15992"/>
      <c r="AJ40" s="15992"/>
      <c r="AK40" s="15992"/>
      <c r="AL40" s="15992"/>
      <c r="AM40" s="15992"/>
      <c r="AN40" s="15992"/>
      <c r="AO40" s="15992"/>
      <c r="AP40" s="15992"/>
      <c r="AQ40" s="15992"/>
      <c r="AR40" s="15992"/>
      <c r="AS40" s="15992"/>
      <c r="AT40" s="15992"/>
      <c r="AU40" s="15992"/>
      <c r="AV40" s="15992"/>
      <c r="AW40" s="15992"/>
      <c r="AX40" s="15992"/>
      <c r="AY40" s="15992"/>
      <c r="AZ40" s="15992"/>
      <c r="BA40" s="15992"/>
      <c r="BB40" s="15992"/>
      <c r="BC40" s="15992" t="s">
        <v>438</v>
      </c>
    </row>
    <row r="41" spans="1:60" ht="14.25" customHeight="1">
      <c r="Q41" s="208"/>
      <c r="R41" s="291"/>
      <c r="S41" s="16132" t="s">
        <v>87</v>
      </c>
      <c r="T41" s="16084" t="s">
        <v>642</v>
      </c>
      <c r="U41" s="218"/>
      <c r="V41" s="16133" t="s">
        <v>564</v>
      </c>
      <c r="W41" s="16134"/>
      <c r="X41" s="16134"/>
      <c r="Y41" s="16134"/>
      <c r="Z41" s="16134"/>
      <c r="AA41" s="16134"/>
      <c r="AB41" s="16135"/>
      <c r="AC41" s="16136" t="s">
        <v>565</v>
      </c>
      <c r="AD41" s="16162" t="s">
        <v>643</v>
      </c>
      <c r="AE41" s="16150"/>
      <c r="AF41" s="16150"/>
      <c r="AG41" s="16163"/>
      <c r="AH41" s="16162" t="s">
        <v>644</v>
      </c>
      <c r="AI41" s="16150"/>
      <c r="AJ41" s="16150"/>
      <c r="AK41" s="16163"/>
      <c r="AL41" s="16162" t="s">
        <v>645</v>
      </c>
      <c r="AM41" s="16150"/>
      <c r="AN41" s="16150"/>
      <c r="AO41" s="16163"/>
      <c r="AP41" s="16162" t="s">
        <v>646</v>
      </c>
      <c r="AQ41" s="16150"/>
      <c r="AR41" s="16150"/>
      <c r="AS41" s="16163"/>
      <c r="AT41" s="16133" t="s">
        <v>564</v>
      </c>
      <c r="AU41" s="16134"/>
      <c r="AV41" s="16134"/>
      <c r="AW41" s="16134"/>
      <c r="AX41" s="16134"/>
      <c r="AY41" s="16134"/>
      <c r="AZ41" s="16135"/>
      <c r="BA41" s="16136" t="s">
        <v>565</v>
      </c>
      <c r="BB41" s="16139" t="s">
        <v>567</v>
      </c>
      <c r="BC41" s="15992"/>
    </row>
    <row r="42" spans="1:60" ht="33.75" customHeight="1">
      <c r="Q42" s="208"/>
      <c r="R42" s="291"/>
      <c r="S42" s="16132"/>
      <c r="T42" s="16084"/>
      <c r="U42" s="919"/>
      <c r="V42" s="16070" t="s">
        <v>647</v>
      </c>
      <c r="W42" s="16071"/>
      <c r="X42" s="16070" t="s">
        <v>648</v>
      </c>
      <c r="Y42" s="16071"/>
      <c r="Z42" s="16070" t="s">
        <v>649</v>
      </c>
      <c r="AA42" s="16157"/>
      <c r="AB42" s="16071"/>
      <c r="AC42" s="16137"/>
      <c r="AD42" s="16164"/>
      <c r="AE42" s="16165"/>
      <c r="AF42" s="16165"/>
      <c r="AG42" s="16166"/>
      <c r="AH42" s="16164"/>
      <c r="AI42" s="16165"/>
      <c r="AJ42" s="16165"/>
      <c r="AK42" s="16166"/>
      <c r="AL42" s="16164"/>
      <c r="AM42" s="16165"/>
      <c r="AN42" s="16165"/>
      <c r="AO42" s="16166"/>
      <c r="AP42" s="16164"/>
      <c r="AQ42" s="16165"/>
      <c r="AR42" s="16165"/>
      <c r="AS42" s="16166"/>
      <c r="AT42" s="16070" t="s">
        <v>647</v>
      </c>
      <c r="AU42" s="16071"/>
      <c r="AV42" s="16070" t="s">
        <v>648</v>
      </c>
      <c r="AW42" s="16071"/>
      <c r="AX42" s="16070" t="s">
        <v>649</v>
      </c>
      <c r="AY42" s="16157"/>
      <c r="AZ42" s="16071"/>
      <c r="BA42" s="16137"/>
      <c r="BB42" s="16140"/>
      <c r="BC42" s="15992"/>
    </row>
    <row r="43" spans="1:60" ht="14.25" customHeight="1">
      <c r="Q43" s="208"/>
      <c r="R43" s="291"/>
      <c r="S43" s="16132"/>
      <c r="T43" s="16084"/>
      <c r="U43" s="919"/>
      <c r="V43" s="16075"/>
      <c r="W43" s="16076"/>
      <c r="X43" s="16075"/>
      <c r="Y43" s="16076"/>
      <c r="Z43" s="16075"/>
      <c r="AA43" s="16158"/>
      <c r="AB43" s="16076"/>
      <c r="AC43" s="16137"/>
      <c r="AD43" s="16164"/>
      <c r="AE43" s="16165"/>
      <c r="AF43" s="16165"/>
      <c r="AG43" s="16166"/>
      <c r="AH43" s="16164"/>
      <c r="AI43" s="16165"/>
      <c r="AJ43" s="16165"/>
      <c r="AK43" s="16166"/>
      <c r="AL43" s="16164"/>
      <c r="AM43" s="16165"/>
      <c r="AN43" s="16165"/>
      <c r="AO43" s="16166"/>
      <c r="AP43" s="16164"/>
      <c r="AQ43" s="16165"/>
      <c r="AR43" s="16165"/>
      <c r="AS43" s="16166"/>
      <c r="AT43" s="16075"/>
      <c r="AU43" s="16076"/>
      <c r="AV43" s="16075"/>
      <c r="AW43" s="16076"/>
      <c r="AX43" s="16075"/>
      <c r="AY43" s="16158"/>
      <c r="AZ43" s="16076"/>
      <c r="BA43" s="16137"/>
      <c r="BB43" s="16140"/>
      <c r="BC43" s="15992"/>
    </row>
    <row r="44" spans="1:60" ht="14.25" customHeight="1">
      <c r="A44" s="1247"/>
      <c r="B44" s="1247" t="s">
        <v>170</v>
      </c>
      <c r="C44" s="1247" t="s">
        <v>171</v>
      </c>
      <c r="D44" s="1247" t="s">
        <v>172</v>
      </c>
      <c r="E44" s="1241" t="s">
        <v>572</v>
      </c>
      <c r="F44" s="1241" t="s">
        <v>573</v>
      </c>
      <c r="G44" s="1241" t="s">
        <v>574</v>
      </c>
      <c r="H44" s="1241" t="s">
        <v>575</v>
      </c>
      <c r="I44" s="1241" t="s">
        <v>576</v>
      </c>
      <c r="J44" s="1241" t="s">
        <v>577</v>
      </c>
      <c r="K44" s="1241" t="s">
        <v>578</v>
      </c>
      <c r="L44" s="1241" t="s">
        <v>553</v>
      </c>
      <c r="Q44" s="208"/>
      <c r="R44" s="291"/>
      <c r="S44" s="16132"/>
      <c r="T44" s="16084"/>
      <c r="U44" s="219"/>
      <c r="V44" s="1350" t="s">
        <v>613</v>
      </c>
      <c r="W44" s="1350" t="s">
        <v>614</v>
      </c>
      <c r="X44" s="1350" t="s">
        <v>613</v>
      </c>
      <c r="Y44" s="1350" t="s">
        <v>614</v>
      </c>
      <c r="Z44" s="1360" t="s">
        <v>581</v>
      </c>
      <c r="AA44" s="16092" t="s">
        <v>582</v>
      </c>
      <c r="AB44" s="16094"/>
      <c r="AC44" s="16138"/>
      <c r="AD44" s="16167"/>
      <c r="AE44" s="16168"/>
      <c r="AF44" s="16168"/>
      <c r="AG44" s="16169"/>
      <c r="AH44" s="16167"/>
      <c r="AI44" s="16168"/>
      <c r="AJ44" s="16168"/>
      <c r="AK44" s="16169"/>
      <c r="AL44" s="16167"/>
      <c r="AM44" s="16168"/>
      <c r="AN44" s="16168"/>
      <c r="AO44" s="16169"/>
      <c r="AP44" s="16167"/>
      <c r="AQ44" s="16168"/>
      <c r="AR44" s="16168"/>
      <c r="AS44" s="16169"/>
      <c r="AT44" s="1350" t="s">
        <v>613</v>
      </c>
      <c r="AU44" s="1350" t="s">
        <v>614</v>
      </c>
      <c r="AV44" s="1350" t="s">
        <v>613</v>
      </c>
      <c r="AW44" s="1350" t="s">
        <v>614</v>
      </c>
      <c r="AX44" s="1360" t="s">
        <v>581</v>
      </c>
      <c r="AY44" s="16092" t="s">
        <v>582</v>
      </c>
      <c r="AZ44" s="16094"/>
      <c r="BA44" s="16138"/>
      <c r="BB44" s="16141"/>
      <c r="BC44" s="15992"/>
    </row>
    <row r="45" spans="1:60" s="14405" customFormat="1" ht="0" hidden="1" customHeight="1">
      <c r="A45" s="1247"/>
      <c r="B45" s="1247"/>
      <c r="C45" s="1247"/>
      <c r="D45" s="1247"/>
      <c r="E45" s="1247"/>
      <c r="F45" s="1247"/>
      <c r="G45" s="1247"/>
      <c r="H45" s="1247"/>
      <c r="I45" s="1247"/>
      <c r="J45" s="1247"/>
      <c r="K45" s="1247"/>
      <c r="L45" s="1241"/>
      <c r="M45" s="1239"/>
      <c r="N45" s="1239"/>
      <c r="O45" s="1239"/>
      <c r="P45" s="417"/>
      <c r="Q45" s="1136"/>
      <c r="R45" s="1136">
        <v>1</v>
      </c>
      <c r="S45" s="1159" t="s">
        <v>147</v>
      </c>
      <c r="T45" s="1137" t="s">
        <v>102</v>
      </c>
      <c r="U45" s="1127" t="str">
        <f ca="1">OFFSET(U45,0,-1)</f>
        <v>2</v>
      </c>
      <c r="V45" s="1353">
        <f t="shared" ref="V45:AA45" ca="1" si="2">OFFSET(V45,0,-1)+1</f>
        <v>3</v>
      </c>
      <c r="W45" s="1353">
        <f t="shared" ca="1" si="2"/>
        <v>4</v>
      </c>
      <c r="X45" s="1353">
        <f t="shared" ca="1" si="2"/>
        <v>5</v>
      </c>
      <c r="Y45" s="1353">
        <f t="shared" ca="1" si="2"/>
        <v>6</v>
      </c>
      <c r="Z45" s="1353">
        <f t="shared" ca="1" si="2"/>
        <v>7</v>
      </c>
      <c r="AA45" s="16131">
        <f t="shared" ca="1" si="2"/>
        <v>8</v>
      </c>
      <c r="AB45" s="16131"/>
      <c r="AC45" s="1353">
        <f ca="1">OFFSET(AC45,0,-2)+1</f>
        <v>9</v>
      </c>
      <c r="AD45" s="1353">
        <f ca="1">OFFSET(AD45,0,-1)+1</f>
        <v>10</v>
      </c>
      <c r="AE45" s="1353"/>
      <c r="AF45" s="1353"/>
      <c r="AG45" s="1353"/>
      <c r="AH45" s="1353"/>
      <c r="AI45" s="1353"/>
      <c r="AJ45" s="1353"/>
      <c r="AK45" s="1353"/>
      <c r="AL45" s="1353"/>
      <c r="AM45" s="1353"/>
      <c r="AN45" s="1353"/>
      <c r="AO45" s="1353"/>
      <c r="AP45" s="1353"/>
      <c r="AQ45" s="1353"/>
      <c r="AR45" s="1353"/>
      <c r="AS45" s="1353"/>
      <c r="AT45" s="1353"/>
      <c r="AU45" s="1353"/>
      <c r="AV45" s="1353"/>
      <c r="AW45" s="1353">
        <f ca="1">OFFSET(AW45,0,-1)+1</f>
        <v>1</v>
      </c>
      <c r="AX45" s="1353">
        <f ca="1">OFFSET(AX45,0,-1)+1</f>
        <v>2</v>
      </c>
      <c r="AY45" s="16131">
        <f ca="1">OFFSET(AY45,0,-1)+1</f>
        <v>3</v>
      </c>
      <c r="AZ45" s="16131"/>
      <c r="BA45" s="1353">
        <f ca="1">OFFSET(BA45,0,-2)+1</f>
        <v>4</v>
      </c>
      <c r="BB45" s="1127">
        <f ca="1">OFFSET(BB45,0,-1)</f>
        <v>4</v>
      </c>
      <c r="BC45" s="1353">
        <f ca="1">OFFSET(BC45,0,-1)+1</f>
        <v>5</v>
      </c>
      <c r="BD45" s="418"/>
      <c r="BE45" s="418"/>
      <c r="BF45" s="418"/>
      <c r="BG45" s="418"/>
      <c r="BH45" s="418"/>
    </row>
    <row r="46" spans="1:60" ht="21" customHeight="1">
      <c r="A46" s="1240" t="s">
        <v>398</v>
      </c>
      <c r="B46" s="1240"/>
      <c r="C46" s="1240"/>
      <c r="D46" s="1240"/>
      <c r="E46" s="16124">
        <v>1</v>
      </c>
      <c r="F46" s="1240"/>
      <c r="G46" s="1240"/>
      <c r="H46" s="1240"/>
      <c r="I46" s="1240"/>
      <c r="J46" s="1240"/>
      <c r="K46" s="1240"/>
      <c r="L46" s="1241"/>
      <c r="M46" s="1242"/>
      <c r="N46" s="1242"/>
      <c r="O46" s="1242"/>
      <c r="P46" s="1286"/>
      <c r="Q46" s="767"/>
      <c r="R46" s="271"/>
      <c r="S46" s="1364">
        <f>INDEX(PT_DIFFERENTIATION_NUM_NTAR,MATCH(A46,PT_DIFFERENTIATION_NTAR_ID,0))</f>
        <v>0</v>
      </c>
      <c r="T46" s="215" t="s">
        <v>158</v>
      </c>
      <c r="U46" s="217"/>
      <c r="V46" s="16111"/>
      <c r="W46" s="16111"/>
      <c r="X46" s="16111"/>
      <c r="Y46" s="16111"/>
      <c r="Z46" s="16111"/>
      <c r="AA46" s="16111"/>
      <c r="AB46" s="16111"/>
      <c r="AC46" s="16112"/>
      <c r="AD46" s="16110" t="str">
        <f>INDEX(PT_DIFFERENTIATION_NTAR,MATCH(A46,PT_DIFFERENTIATION_NTAR_ID,0))</f>
        <v/>
      </c>
      <c r="AE46" s="16111"/>
      <c r="AF46" s="16111"/>
      <c r="AG46" s="16111"/>
      <c r="AH46" s="16111"/>
      <c r="AI46" s="16111"/>
      <c r="AJ46" s="16111"/>
      <c r="AK46" s="16111"/>
      <c r="AL46" s="16111"/>
      <c r="AM46" s="16111"/>
      <c r="AN46" s="16111"/>
      <c r="AO46" s="16111"/>
      <c r="AP46" s="16111"/>
      <c r="AQ46" s="16111"/>
      <c r="AR46" s="16111"/>
      <c r="AS46" s="16111"/>
      <c r="AT46" s="16111"/>
      <c r="AU46" s="16111"/>
      <c r="AV46" s="16111"/>
      <c r="AW46" s="16111"/>
      <c r="AX46" s="16111"/>
      <c r="AY46" s="16111"/>
      <c r="AZ46" s="16111"/>
      <c r="BA46" s="16111"/>
      <c r="BB46" s="16112"/>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0" t="s">
        <v>398</v>
      </c>
      <c r="B47" s="1240" t="s">
        <v>399</v>
      </c>
      <c r="C47" s="1240"/>
      <c r="D47" s="1240"/>
      <c r="E47" s="16125"/>
      <c r="F47" s="16124">
        <v>1</v>
      </c>
      <c r="G47" s="1240"/>
      <c r="H47" s="1240"/>
      <c r="I47" s="1240"/>
      <c r="J47" s="1240"/>
      <c r="K47" s="1240"/>
      <c r="L47" s="1241"/>
      <c r="M47" s="1242"/>
      <c r="N47" s="1242"/>
      <c r="O47" s="1242"/>
      <c r="P47" s="1287"/>
      <c r="Q47" s="1288"/>
      <c r="R47" s="269"/>
      <c r="S47" s="1364" t="str">
        <f>INDEX(PT_DIFFERENTIATION_NUM_TER,MATCH(B47,PT_DIFFERENTIATION_TER_ID,0))</f>
        <v>.</v>
      </c>
      <c r="T47" s="225" t="s">
        <v>534</v>
      </c>
      <c r="U47" s="217"/>
      <c r="V47" s="16111"/>
      <c r="W47" s="16111"/>
      <c r="X47" s="16111"/>
      <c r="Y47" s="16111"/>
      <c r="Z47" s="16111"/>
      <c r="AA47" s="16111"/>
      <c r="AB47" s="16111"/>
      <c r="AC47" s="16112"/>
      <c r="AD47" s="16110" t="str">
        <f>INDEX(PT_DIFFERENTIATION_TER,MATCH(B47,PT_DIFFERENTIATION_TER_ID,0))</f>
        <v/>
      </c>
      <c r="AE47" s="16111"/>
      <c r="AF47" s="16111"/>
      <c r="AG47" s="16111"/>
      <c r="AH47" s="16111"/>
      <c r="AI47" s="16111"/>
      <c r="AJ47" s="16111"/>
      <c r="AK47" s="16111"/>
      <c r="AL47" s="16111"/>
      <c r="AM47" s="16111"/>
      <c r="AN47" s="16111"/>
      <c r="AO47" s="16111"/>
      <c r="AP47" s="16111"/>
      <c r="AQ47" s="16111"/>
      <c r="AR47" s="16111"/>
      <c r="AS47" s="16111"/>
      <c r="AT47" s="16111"/>
      <c r="AU47" s="16111"/>
      <c r="AV47" s="16111"/>
      <c r="AW47" s="16111"/>
      <c r="AX47" s="16111"/>
      <c r="AY47" s="16111"/>
      <c r="AZ47" s="16111"/>
      <c r="BA47" s="16111"/>
      <c r="BB47" s="16112"/>
      <c r="BC47" s="1140" t="s">
        <v>535</v>
      </c>
      <c r="BE47" s="407"/>
      <c r="BF47" s="407" t="str">
        <f t="shared" si="3"/>
        <v>Территория действия тарифа</v>
      </c>
      <c r="BG47" s="407"/>
      <c r="BH47" s="407"/>
    </row>
    <row r="48" spans="1:60" ht="33.75" customHeight="1">
      <c r="A48" s="1240" t="s">
        <v>398</v>
      </c>
      <c r="B48" s="1240" t="s">
        <v>399</v>
      </c>
      <c r="C48" s="1240" t="s">
        <v>400</v>
      </c>
      <c r="D48" s="1240"/>
      <c r="E48" s="16125"/>
      <c r="F48" s="16125"/>
      <c r="G48" s="16124">
        <v>1</v>
      </c>
      <c r="H48" s="1240"/>
      <c r="I48" s="1240"/>
      <c r="J48" s="1240"/>
      <c r="K48" s="1240"/>
      <c r="L48" s="1241"/>
      <c r="M48" s="1242"/>
      <c r="N48" s="1242"/>
      <c r="O48" s="1242"/>
      <c r="P48" s="1289"/>
      <c r="Q48" s="1288"/>
      <c r="R48" s="269"/>
      <c r="S48" s="1364" t="str">
        <f>INDEX(PT_DIFFERENTIATION_NUM_CS,MATCH(C48,PT_DIFFERENTIATION_CS_ID,0))</f>
        <v>..</v>
      </c>
      <c r="T48" s="226" t="s">
        <v>665</v>
      </c>
      <c r="U48" s="217"/>
      <c r="V48" s="16111"/>
      <c r="W48" s="16111"/>
      <c r="X48" s="16111"/>
      <c r="Y48" s="16111"/>
      <c r="Z48" s="16111"/>
      <c r="AA48" s="16111"/>
      <c r="AB48" s="16111"/>
      <c r="AC48" s="16112"/>
      <c r="AD48" s="16110" t="str">
        <f>INDEX(PT_DIFFERENTIATION_CS,MATCH(C48,PT_DIFFERENTIATION_CS_ID,0))</f>
        <v/>
      </c>
      <c r="AE48" s="16111"/>
      <c r="AF48" s="16111"/>
      <c r="AG48" s="16111"/>
      <c r="AH48" s="16111"/>
      <c r="AI48" s="16111"/>
      <c r="AJ48" s="16111"/>
      <c r="AK48" s="16111"/>
      <c r="AL48" s="16111"/>
      <c r="AM48" s="16111"/>
      <c r="AN48" s="16111"/>
      <c r="AO48" s="16111"/>
      <c r="AP48" s="16111"/>
      <c r="AQ48" s="16111"/>
      <c r="AR48" s="16111"/>
      <c r="AS48" s="16111"/>
      <c r="AT48" s="16111"/>
      <c r="AU48" s="16111"/>
      <c r="AV48" s="16111"/>
      <c r="AW48" s="16111"/>
      <c r="AX48" s="16111"/>
      <c r="AY48" s="16111"/>
      <c r="AZ48" s="16111"/>
      <c r="BA48" s="16111"/>
      <c r="BB48" s="16112"/>
      <c r="BC48" s="1140" t="s">
        <v>666</v>
      </c>
      <c r="BE48" s="407"/>
      <c r="BF48" s="407" t="str">
        <f t="shared" si="3"/>
        <v>Наименование централизованной системы горячего водоснабжения</v>
      </c>
      <c r="BG48" s="407"/>
      <c r="BH48" s="407"/>
    </row>
    <row r="49" spans="1:60" s="14421" customFormat="1" ht="0" hidden="1" customHeight="1">
      <c r="A49" s="1221" t="s">
        <v>398</v>
      </c>
      <c r="B49" s="1221" t="s">
        <v>399</v>
      </c>
      <c r="C49" s="1221" t="s">
        <v>400</v>
      </c>
      <c r="D49" s="1221" t="s">
        <v>682</v>
      </c>
      <c r="E49" s="16125"/>
      <c r="F49" s="16125"/>
      <c r="G49" s="16125"/>
      <c r="H49" s="16124">
        <v>1</v>
      </c>
      <c r="I49" s="1221"/>
      <c r="J49" s="1221"/>
      <c r="K49" s="1221"/>
      <c r="L49" s="1224"/>
      <c r="M49" s="1194"/>
      <c r="N49" s="1194"/>
      <c r="O49" s="1194"/>
      <c r="P49" s="1368"/>
      <c r="Q49" s="1369"/>
      <c r="R49" s="273"/>
      <c r="S49" s="930"/>
      <c r="T49" s="1370"/>
      <c r="U49" s="1261"/>
      <c r="V49" s="16154"/>
      <c r="W49" s="16154"/>
      <c r="X49" s="16154"/>
      <c r="Y49" s="16154"/>
      <c r="Z49" s="16154"/>
      <c r="AA49" s="16154"/>
      <c r="AB49" s="16154"/>
      <c r="AC49" s="16155"/>
      <c r="AD49" s="16153"/>
      <c r="AE49" s="16154"/>
      <c r="AF49" s="16154"/>
      <c r="AG49" s="16154"/>
      <c r="AH49" s="16154"/>
      <c r="AI49" s="16154"/>
      <c r="AJ49" s="16154"/>
      <c r="AK49" s="16154"/>
      <c r="AL49" s="16154"/>
      <c r="AM49" s="16154"/>
      <c r="AN49" s="16154"/>
      <c r="AO49" s="16154"/>
      <c r="AP49" s="16154"/>
      <c r="AQ49" s="16154"/>
      <c r="AR49" s="16154"/>
      <c r="AS49" s="16154"/>
      <c r="AT49" s="16154"/>
      <c r="AU49" s="16154"/>
      <c r="AV49" s="16154"/>
      <c r="AW49" s="16154"/>
      <c r="AX49" s="16154"/>
      <c r="AY49" s="16154"/>
      <c r="AZ49" s="16154"/>
      <c r="BA49" s="16154"/>
      <c r="BB49" s="16155"/>
      <c r="BC49" s="1262" t="s">
        <v>539</v>
      </c>
      <c r="BE49" s="407"/>
      <c r="BF49" s="407" t="str">
        <f t="shared" si="3"/>
        <v/>
      </c>
      <c r="BG49" s="407"/>
      <c r="BH49" s="407"/>
    </row>
    <row r="50" spans="1:60" s="14421" customFormat="1" ht="0" hidden="1" customHeight="1">
      <c r="A50" s="1221" t="s">
        <v>398</v>
      </c>
      <c r="B50" s="1221" t="s">
        <v>399</v>
      </c>
      <c r="C50" s="1221" t="s">
        <v>400</v>
      </c>
      <c r="D50" s="1221" t="s">
        <v>682</v>
      </c>
      <c r="E50" s="16125"/>
      <c r="F50" s="16125"/>
      <c r="G50" s="16125"/>
      <c r="H50" s="16125"/>
      <c r="I50" s="16122" t="str">
        <f>S49&amp;".1"</f>
        <v>.1</v>
      </c>
      <c r="J50" s="1221"/>
      <c r="K50" s="1221"/>
      <c r="L50" s="1224" t="s">
        <v>540</v>
      </c>
      <c r="M50" s="417"/>
      <c r="N50" s="417"/>
      <c r="O50" s="417"/>
      <c r="P50" s="16123">
        <v>1</v>
      </c>
      <c r="Q50" s="1352"/>
      <c r="R50" s="272"/>
      <c r="S50" s="930"/>
      <c r="T50" s="1260"/>
      <c r="U50" s="1261"/>
      <c r="V50" s="16154"/>
      <c r="W50" s="16154"/>
      <c r="X50" s="16154"/>
      <c r="Y50" s="16154"/>
      <c r="Z50" s="16154"/>
      <c r="AA50" s="16154"/>
      <c r="AB50" s="16154"/>
      <c r="AC50" s="16155"/>
      <c r="AD50" s="16153"/>
      <c r="AE50" s="16154"/>
      <c r="AF50" s="16154"/>
      <c r="AG50" s="16154"/>
      <c r="AH50" s="16154"/>
      <c r="AI50" s="16154"/>
      <c r="AJ50" s="16154"/>
      <c r="AK50" s="16154"/>
      <c r="AL50" s="16154"/>
      <c r="AM50" s="16154"/>
      <c r="AN50" s="16154"/>
      <c r="AO50" s="16154"/>
      <c r="AP50" s="16154"/>
      <c r="AQ50" s="16154"/>
      <c r="AR50" s="16154"/>
      <c r="AS50" s="16154"/>
      <c r="AT50" s="16154"/>
      <c r="AU50" s="16154"/>
      <c r="AV50" s="16154"/>
      <c r="AW50" s="16154"/>
      <c r="AX50" s="16154"/>
      <c r="AY50" s="16154"/>
      <c r="AZ50" s="16154"/>
      <c r="BA50" s="16154"/>
      <c r="BB50" s="16155"/>
      <c r="BC50" s="1262"/>
      <c r="BE50" s="407"/>
      <c r="BF50" s="407" t="str">
        <f t="shared" si="3"/>
        <v/>
      </c>
      <c r="BG50" s="407"/>
      <c r="BH50" s="407"/>
    </row>
    <row r="51" spans="1:60" s="14421" customFormat="1" ht="0" hidden="1" customHeight="1">
      <c r="A51" s="1221" t="s">
        <v>398</v>
      </c>
      <c r="B51" s="1221" t="s">
        <v>399</v>
      </c>
      <c r="C51" s="1221" t="s">
        <v>400</v>
      </c>
      <c r="D51" s="1221" t="s">
        <v>682</v>
      </c>
      <c r="E51" s="16125"/>
      <c r="F51" s="16125"/>
      <c r="G51" s="16125"/>
      <c r="H51" s="16125"/>
      <c r="I51" s="16145"/>
      <c r="J51" s="16122" t="str">
        <f>S49&amp;".1"</f>
        <v>.1</v>
      </c>
      <c r="K51" s="1221"/>
      <c r="L51" s="1224"/>
      <c r="M51" s="417"/>
      <c r="N51" s="417"/>
      <c r="O51" s="417"/>
      <c r="P51" s="16123"/>
      <c r="Q51" s="16123">
        <v>1</v>
      </c>
      <c r="R51" s="273"/>
      <c r="S51" s="930"/>
      <c r="T51" s="1276"/>
      <c r="U51" s="1261"/>
      <c r="V51" s="16154"/>
      <c r="W51" s="16154"/>
      <c r="X51" s="16154"/>
      <c r="Y51" s="16154"/>
      <c r="Z51" s="16154"/>
      <c r="AA51" s="16154"/>
      <c r="AB51" s="16154"/>
      <c r="AC51" s="16155"/>
      <c r="AD51" s="16153"/>
      <c r="AE51" s="16154"/>
      <c r="AF51" s="16154"/>
      <c r="AG51" s="16154"/>
      <c r="AH51" s="16154"/>
      <c r="AI51" s="16154"/>
      <c r="AJ51" s="16154"/>
      <c r="AK51" s="16154"/>
      <c r="AL51" s="16154"/>
      <c r="AM51" s="16154"/>
      <c r="AN51" s="16198"/>
      <c r="AO51" s="16198"/>
      <c r="AP51" s="16154"/>
      <c r="AQ51" s="16154"/>
      <c r="AR51" s="16154"/>
      <c r="AS51" s="16154"/>
      <c r="AT51" s="16154"/>
      <c r="AU51" s="16154"/>
      <c r="AV51" s="16154"/>
      <c r="AW51" s="16154"/>
      <c r="AX51" s="16154"/>
      <c r="AY51" s="16154"/>
      <c r="AZ51" s="16154"/>
      <c r="BA51" s="16154"/>
      <c r="BB51" s="16155"/>
      <c r="BC51" s="1262"/>
      <c r="BE51" s="407"/>
      <c r="BF51" s="407" t="str">
        <f t="shared" si="3"/>
        <v/>
      </c>
      <c r="BG51" s="407"/>
      <c r="BH51" s="407"/>
    </row>
    <row r="52" spans="1:60" ht="11.25" customHeight="1">
      <c r="A52" s="1240" t="s">
        <v>398</v>
      </c>
      <c r="B52" s="1240" t="s">
        <v>399</v>
      </c>
      <c r="C52" s="1240" t="s">
        <v>400</v>
      </c>
      <c r="D52" s="1240" t="s">
        <v>682</v>
      </c>
      <c r="E52" s="16125"/>
      <c r="F52" s="16125"/>
      <c r="G52" s="16125"/>
      <c r="H52" s="16125"/>
      <c r="I52" s="16145"/>
      <c r="J52" s="16145"/>
      <c r="K52" s="16122" t="str">
        <f>S48&amp;".1"</f>
        <v>...1</v>
      </c>
      <c r="L52" s="1241"/>
      <c r="P52" s="16123"/>
      <c r="Q52" s="16123"/>
      <c r="R52" s="273">
        <v>1</v>
      </c>
      <c r="S52" s="16174" t="str">
        <f>$K52</f>
        <v>...1</v>
      </c>
      <c r="T52" s="16193"/>
      <c r="U52" s="217"/>
      <c r="V52" s="649"/>
      <c r="W52" s="1139"/>
      <c r="X52" s="649"/>
      <c r="Y52" s="1139"/>
      <c r="Z52" s="1596"/>
      <c r="AA52" s="1341" t="s">
        <v>66</v>
      </c>
      <c r="AB52" s="1596"/>
      <c r="AC52" s="1341" t="s">
        <v>66</v>
      </c>
      <c r="AD52" s="16044" t="s">
        <v>66</v>
      </c>
      <c r="AE52" s="16160"/>
      <c r="AF52" s="16080">
        <v>1</v>
      </c>
      <c r="AG52" s="16197"/>
      <c r="AH52" s="15973" t="s">
        <v>66</v>
      </c>
      <c r="AI52" s="16160"/>
      <c r="AJ52" s="16080">
        <v>1</v>
      </c>
      <c r="AK52" s="16196" t="s">
        <v>24</v>
      </c>
      <c r="AL52" s="15973" t="s">
        <v>66</v>
      </c>
      <c r="AM52" s="16070"/>
      <c r="AN52" s="16080">
        <v>1</v>
      </c>
      <c r="AO52" s="16190"/>
      <c r="AP52" s="16191" t="s">
        <v>66</v>
      </c>
      <c r="AQ52" s="228"/>
      <c r="AR52" s="1357">
        <v>1</v>
      </c>
      <c r="AS52" s="1363" t="s">
        <v>24</v>
      </c>
      <c r="AT52" s="649"/>
      <c r="AU52" s="1139"/>
      <c r="AV52" s="649"/>
      <c r="AW52" s="1139"/>
      <c r="AX52" s="1596"/>
      <c r="AY52" s="1341" t="s">
        <v>66</v>
      </c>
      <c r="AZ52" s="1596"/>
      <c r="BA52" s="1341" t="s">
        <v>66</v>
      </c>
      <c r="BB52" s="1226"/>
      <c r="BC52" s="16119" t="s">
        <v>636</v>
      </c>
      <c r="BE52" s="407"/>
      <c r="BF52" s="407" t="str">
        <f t="shared" si="3"/>
        <v/>
      </c>
      <c r="BG52" s="407"/>
      <c r="BH52" s="407"/>
    </row>
    <row r="53" spans="1:60" ht="11.25" customHeight="1">
      <c r="A53" s="1240"/>
      <c r="B53" s="1240"/>
      <c r="C53" s="1240"/>
      <c r="D53" s="1240"/>
      <c r="E53" s="16125"/>
      <c r="F53" s="16125"/>
      <c r="G53" s="16125"/>
      <c r="H53" s="16125"/>
      <c r="I53" s="16145"/>
      <c r="J53" s="16145"/>
      <c r="K53" s="16122"/>
      <c r="L53" s="1241"/>
      <c r="P53" s="16123"/>
      <c r="Q53" s="16123"/>
      <c r="R53" s="273"/>
      <c r="S53" s="16175"/>
      <c r="T53" s="16194"/>
      <c r="U53" s="217"/>
      <c r="V53" s="1270"/>
      <c r="W53" s="1367"/>
      <c r="X53" s="1270"/>
      <c r="Y53" s="1367"/>
      <c r="Z53" s="1270"/>
      <c r="AA53" s="1270"/>
      <c r="AB53" s="1270"/>
      <c r="AC53" s="1270"/>
      <c r="AD53" s="16045"/>
      <c r="AE53" s="16160"/>
      <c r="AF53" s="16080"/>
      <c r="AG53" s="16197"/>
      <c r="AH53" s="15973"/>
      <c r="AI53" s="16160"/>
      <c r="AJ53" s="16080"/>
      <c r="AK53" s="16196"/>
      <c r="AL53" s="15973"/>
      <c r="AM53" s="16075"/>
      <c r="AN53" s="16080"/>
      <c r="AO53" s="16190"/>
      <c r="AP53" s="16192"/>
      <c r="AQ53" s="233"/>
      <c r="AR53" s="331"/>
      <c r="AS53" s="331" t="s">
        <v>637</v>
      </c>
      <c r="AT53" s="1270"/>
      <c r="AU53" s="1367"/>
      <c r="AV53" s="1270"/>
      <c r="AW53" s="1367"/>
      <c r="AX53" s="1270"/>
      <c r="AY53" s="1270"/>
      <c r="AZ53" s="1270"/>
      <c r="BA53" s="1270"/>
      <c r="BB53" s="1274"/>
      <c r="BC53" s="16120"/>
      <c r="BE53" s="407"/>
      <c r="BF53" s="407"/>
      <c r="BG53" s="407"/>
      <c r="BH53" s="407"/>
    </row>
    <row r="54" spans="1:60" ht="11.25" customHeight="1">
      <c r="A54" s="1240" t="s">
        <v>398</v>
      </c>
      <c r="B54" s="1240"/>
      <c r="C54" s="1240"/>
      <c r="D54" s="1240"/>
      <c r="E54" s="16125"/>
      <c r="F54" s="16125"/>
      <c r="G54" s="16125"/>
      <c r="H54" s="16125"/>
      <c r="I54" s="16145"/>
      <c r="J54" s="16145"/>
      <c r="K54" s="16122"/>
      <c r="L54" s="1241"/>
      <c r="P54" s="16123"/>
      <c r="Q54" s="16123"/>
      <c r="R54" s="273"/>
      <c r="S54" s="16175"/>
      <c r="T54" s="16194"/>
      <c r="U54" s="217"/>
      <c r="V54" s="1270"/>
      <c r="W54" s="1367"/>
      <c r="X54" s="1270"/>
      <c r="Y54" s="1367"/>
      <c r="Z54" s="1270"/>
      <c r="AA54" s="1270"/>
      <c r="AB54" s="1270"/>
      <c r="AC54" s="1270"/>
      <c r="AD54" s="16045"/>
      <c r="AE54" s="16160"/>
      <c r="AF54" s="16080"/>
      <c r="AG54" s="16197"/>
      <c r="AH54" s="15973"/>
      <c r="AI54" s="16160"/>
      <c r="AJ54" s="16080"/>
      <c r="AK54" s="16196"/>
      <c r="AL54" s="15973"/>
      <c r="AM54" s="233"/>
      <c r="AN54" s="1371"/>
      <c r="AO54" s="1371" t="s">
        <v>638</v>
      </c>
      <c r="AP54" s="331"/>
      <c r="AQ54" s="331"/>
      <c r="AR54" s="331"/>
      <c r="AS54" s="1270"/>
      <c r="AT54" s="1270"/>
      <c r="AU54" s="1367"/>
      <c r="AV54" s="1270"/>
      <c r="AW54" s="1367"/>
      <c r="AX54" s="1270"/>
      <c r="AY54" s="1270"/>
      <c r="AZ54" s="1270"/>
      <c r="BA54" s="1270"/>
      <c r="BB54" s="1274"/>
      <c r="BC54" s="16120"/>
      <c r="BE54" s="407"/>
      <c r="BF54" s="407"/>
      <c r="BG54" s="407"/>
      <c r="BH54" s="407"/>
    </row>
    <row r="55" spans="1:60" ht="11.25" customHeight="1">
      <c r="A55" s="1240" t="s">
        <v>398</v>
      </c>
      <c r="B55" s="1240"/>
      <c r="C55" s="1240"/>
      <c r="D55" s="1240"/>
      <c r="E55" s="16125"/>
      <c r="F55" s="16125"/>
      <c r="G55" s="16125"/>
      <c r="H55" s="16125"/>
      <c r="I55" s="16145"/>
      <c r="J55" s="16145"/>
      <c r="K55" s="16122"/>
      <c r="L55" s="1241"/>
      <c r="P55" s="16123"/>
      <c r="Q55" s="16123"/>
      <c r="R55" s="273"/>
      <c r="S55" s="16175"/>
      <c r="T55" s="16194"/>
      <c r="U55" s="217"/>
      <c r="V55" s="1270"/>
      <c r="W55" s="1367"/>
      <c r="X55" s="1270"/>
      <c r="Y55" s="1367"/>
      <c r="Z55" s="1270"/>
      <c r="AA55" s="1270"/>
      <c r="AB55" s="1270"/>
      <c r="AC55" s="1270"/>
      <c r="AD55" s="16045"/>
      <c r="AE55" s="16160"/>
      <c r="AF55" s="16080"/>
      <c r="AG55" s="16197"/>
      <c r="AH55" s="15973"/>
      <c r="AI55" s="211"/>
      <c r="AJ55" s="330"/>
      <c r="AK55" s="230" t="s">
        <v>639</v>
      </c>
      <c r="AL55" s="1270"/>
      <c r="AM55" s="1270"/>
      <c r="AN55" s="1270"/>
      <c r="AO55" s="1270"/>
      <c r="AP55" s="1270"/>
      <c r="AQ55" s="1270"/>
      <c r="AR55" s="1270"/>
      <c r="AS55" s="1270"/>
      <c r="AT55" s="1270"/>
      <c r="AU55" s="1367"/>
      <c r="AV55" s="1270"/>
      <c r="AW55" s="1367"/>
      <c r="AX55" s="1270"/>
      <c r="AY55" s="1270"/>
      <c r="AZ55" s="1270"/>
      <c r="BA55" s="1270"/>
      <c r="BB55" s="1274"/>
      <c r="BC55" s="16120"/>
      <c r="BE55" s="407"/>
      <c r="BF55" s="407"/>
      <c r="BG55" s="407"/>
      <c r="BH55" s="407"/>
    </row>
    <row r="56" spans="1:60" ht="11.25" customHeight="1">
      <c r="A56" s="1240" t="s">
        <v>398</v>
      </c>
      <c r="B56" s="1240" t="s">
        <v>399</v>
      </c>
      <c r="C56" s="1240" t="s">
        <v>400</v>
      </c>
      <c r="D56" s="1240" t="s">
        <v>682</v>
      </c>
      <c r="E56" s="16125"/>
      <c r="F56" s="16125"/>
      <c r="G56" s="16125"/>
      <c r="H56" s="16125"/>
      <c r="I56" s="16145"/>
      <c r="J56" s="16145"/>
      <c r="K56" s="16122"/>
      <c r="L56" s="1241"/>
      <c r="P56" s="16123"/>
      <c r="Q56" s="16123"/>
      <c r="R56" s="273"/>
      <c r="S56" s="16176"/>
      <c r="T56" s="16195"/>
      <c r="U56" s="217"/>
      <c r="V56" s="1270"/>
      <c r="W56" s="1271" t="str">
        <f>Z52&amp;"-"&amp;AB52</f>
        <v>-</v>
      </c>
      <c r="X56" s="1270"/>
      <c r="Y56" s="1271" t="str">
        <f>AB52&amp;"-"&amp;AD52</f>
        <v>-да</v>
      </c>
      <c r="Z56" s="1270"/>
      <c r="AA56" s="1270"/>
      <c r="AB56" s="1270"/>
      <c r="AC56" s="1270"/>
      <c r="AD56" s="15978"/>
      <c r="AE56" s="229"/>
      <c r="AF56" s="231"/>
      <c r="AG56" s="331" t="s">
        <v>640</v>
      </c>
      <c r="AH56" s="1270"/>
      <c r="AI56" s="1270"/>
      <c r="AJ56" s="1270"/>
      <c r="AK56" s="1270"/>
      <c r="AL56" s="1270"/>
      <c r="AM56" s="1270"/>
      <c r="AN56" s="1270"/>
      <c r="AO56" s="1270"/>
      <c r="AP56" s="1270"/>
      <c r="AQ56" s="1270"/>
      <c r="AR56" s="1270"/>
      <c r="AS56" s="1270"/>
      <c r="AT56" s="1270"/>
      <c r="AU56" s="1271" t="str">
        <f>AX52&amp;"-"&amp;AZ52</f>
        <v>-</v>
      </c>
      <c r="AV56" s="1270"/>
      <c r="AW56" s="1271" t="str">
        <f>AZ52&amp;"-"&amp;BB52</f>
        <v>-</v>
      </c>
      <c r="AX56" s="1270"/>
      <c r="AY56" s="1270"/>
      <c r="AZ56" s="1270"/>
      <c r="BA56" s="1270"/>
      <c r="BB56" s="1273" t="str">
        <f>BE52&amp;"-"&amp;BG52</f>
        <v>-</v>
      </c>
      <c r="BC56" s="16120"/>
      <c r="BE56" s="407"/>
      <c r="BF56" s="407" t="str">
        <f t="shared" ref="BF56:BF63" si="4">IF(T56="","",T56)</f>
        <v/>
      </c>
      <c r="BG56" s="407"/>
      <c r="BH56" s="407"/>
    </row>
    <row r="57" spans="1:60" ht="11.25" customHeight="1">
      <c r="A57" s="1240" t="s">
        <v>398</v>
      </c>
      <c r="B57" s="1240" t="s">
        <v>399</v>
      </c>
      <c r="C57" s="1240" t="s">
        <v>400</v>
      </c>
      <c r="D57" s="1240" t="s">
        <v>682</v>
      </c>
      <c r="E57" s="16125"/>
      <c r="F57" s="16125"/>
      <c r="G57" s="16125"/>
      <c r="H57" s="16125"/>
      <c r="I57" s="16145"/>
      <c r="J57" s="16122"/>
      <c r="K57" s="1240"/>
      <c r="L57" s="1241"/>
      <c r="P57" s="16123"/>
      <c r="Q57" s="16123"/>
      <c r="R57" s="272"/>
      <c r="S57" s="1160"/>
      <c r="T57" s="204" t="s">
        <v>602</v>
      </c>
      <c r="U57" s="282"/>
      <c r="V57" s="282"/>
      <c r="W57" s="282"/>
      <c r="X57" s="282"/>
      <c r="Y57" s="282"/>
      <c r="Z57" s="282"/>
      <c r="AA57" s="282"/>
      <c r="AB57" s="282"/>
      <c r="AC57" s="241"/>
      <c r="AD57" s="1376"/>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16121"/>
      <c r="BE57" s="407"/>
      <c r="BF57" s="407" t="str">
        <f t="shared" si="4"/>
        <v>Добавить строку</v>
      </c>
      <c r="BG57" s="407"/>
      <c r="BH57" s="407"/>
    </row>
    <row r="58" spans="1:60" s="14421" customFormat="1" ht="0" hidden="1" customHeight="1">
      <c r="A58" s="1221" t="s">
        <v>398</v>
      </c>
      <c r="B58" s="1221" t="s">
        <v>399</v>
      </c>
      <c r="C58" s="1221" t="s">
        <v>400</v>
      </c>
      <c r="D58" s="1221" t="s">
        <v>682</v>
      </c>
      <c r="E58" s="16125"/>
      <c r="F58" s="16125"/>
      <c r="G58" s="16125"/>
      <c r="H58" s="16125"/>
      <c r="I58" s="16122"/>
      <c r="J58" s="1221"/>
      <c r="K58" s="1221"/>
      <c r="L58" s="1224"/>
      <c r="M58" s="417"/>
      <c r="N58" s="417"/>
      <c r="O58" s="417"/>
      <c r="P58" s="16123"/>
      <c r="Q58" s="1352"/>
      <c r="R58" s="272"/>
      <c r="S58" s="1263"/>
      <c r="T58" s="1264"/>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6"/>
      <c r="BE58" s="407"/>
      <c r="BF58" s="407" t="str">
        <f t="shared" si="4"/>
        <v/>
      </c>
      <c r="BG58" s="407"/>
      <c r="BH58" s="407"/>
    </row>
    <row r="59" spans="1:60" s="14421" customFormat="1" ht="0" hidden="1" customHeight="1">
      <c r="A59" s="1221" t="s">
        <v>398</v>
      </c>
      <c r="B59" s="1221" t="s">
        <v>399</v>
      </c>
      <c r="C59" s="1221" t="s">
        <v>400</v>
      </c>
      <c r="D59" s="1221" t="s">
        <v>682</v>
      </c>
      <c r="E59" s="16125"/>
      <c r="F59" s="16125"/>
      <c r="G59" s="16125"/>
      <c r="H59" s="16124"/>
      <c r="I59" s="1221"/>
      <c r="J59" s="1221"/>
      <c r="K59" s="1221"/>
      <c r="L59" s="1224"/>
      <c r="M59" s="1194"/>
      <c r="N59" s="1194"/>
      <c r="O59" s="425"/>
      <c r="P59" s="295"/>
      <c r="Q59" s="1222"/>
      <c r="R59" s="1278"/>
      <c r="S59" s="1263"/>
      <c r="T59" s="1264"/>
      <c r="U59" s="1265"/>
      <c r="V59" s="1265"/>
      <c r="W59" s="1265"/>
      <c r="X59" s="1265"/>
      <c r="Y59" s="1265"/>
      <c r="Z59" s="1265"/>
      <c r="AA59" s="1265"/>
      <c r="AB59" s="1265"/>
      <c r="AC59" s="1265"/>
      <c r="AD59" s="1265"/>
      <c r="AE59" s="1265"/>
      <c r="AF59" s="1265"/>
      <c r="AG59" s="1265"/>
      <c r="AH59" s="1265"/>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6"/>
      <c r="BE59" s="407"/>
      <c r="BF59" s="407" t="str">
        <f t="shared" si="4"/>
        <v/>
      </c>
      <c r="BG59" s="407"/>
      <c r="BH59" s="407"/>
    </row>
    <row r="60" spans="1:60" s="14418" customFormat="1" ht="0" hidden="1" customHeight="1">
      <c r="A60" s="1221" t="s">
        <v>398</v>
      </c>
      <c r="B60" s="1221" t="s">
        <v>399</v>
      </c>
      <c r="C60" s="1221" t="s">
        <v>400</v>
      </c>
      <c r="D60" s="1193"/>
      <c r="E60" s="16125"/>
      <c r="F60" s="16125"/>
      <c r="G60" s="16124"/>
      <c r="H60" s="1193"/>
      <c r="I60" s="1193"/>
      <c r="J60" s="1193"/>
      <c r="K60" s="1193"/>
      <c r="L60" s="1365"/>
      <c r="M60" s="1194"/>
      <c r="N60" s="1194"/>
      <c r="P60" s="1195"/>
      <c r="Q60" s="1196"/>
      <c r="R60" s="1195"/>
      <c r="S60" s="1201"/>
      <c r="T60" s="1204"/>
      <c r="U60" s="1203"/>
      <c r="V60" s="1203"/>
      <c r="W60" s="1203"/>
      <c r="X60" s="1203"/>
      <c r="Y60" s="1203"/>
      <c r="Z60" s="1203"/>
      <c r="AA60" s="1203"/>
      <c r="AB60" s="1203"/>
      <c r="AC60" s="1203"/>
      <c r="AD60" s="1203"/>
      <c r="AE60" s="1203"/>
      <c r="AF60" s="1203"/>
      <c r="AG60" s="1203"/>
      <c r="AH60" s="1203"/>
      <c r="AI60" s="1203"/>
      <c r="AJ60" s="1203"/>
      <c r="AK60" s="1203"/>
      <c r="AL60" s="1203"/>
      <c r="AM60" s="1203"/>
      <c r="AN60" s="1203"/>
      <c r="AO60" s="1203"/>
      <c r="AP60" s="1203"/>
      <c r="AQ60" s="1203"/>
      <c r="AR60" s="1203"/>
      <c r="AS60" s="1203"/>
      <c r="AT60" s="1203"/>
      <c r="AU60" s="1203"/>
      <c r="AV60" s="1203"/>
      <c r="AW60" s="1203"/>
      <c r="AX60" s="1203"/>
      <c r="AY60" s="1203"/>
      <c r="AZ60" s="1203"/>
      <c r="BA60" s="1203"/>
      <c r="BB60" s="1203"/>
      <c r="BC60" s="1203"/>
      <c r="BE60" s="687"/>
      <c r="BF60" s="687" t="str">
        <f t="shared" si="4"/>
        <v/>
      </c>
      <c r="BG60" s="687"/>
      <c r="BH60" s="687"/>
    </row>
    <row r="61" spans="1:60" s="14418" customFormat="1" ht="0" hidden="1" customHeight="1">
      <c r="A61" s="1221" t="s">
        <v>398</v>
      </c>
      <c r="B61" s="1221" t="s">
        <v>399</v>
      </c>
      <c r="C61" s="1193"/>
      <c r="D61" s="1193"/>
      <c r="E61" s="16125"/>
      <c r="F61" s="16124"/>
      <c r="G61" s="1193"/>
      <c r="H61" s="1193"/>
      <c r="I61" s="1193"/>
      <c r="J61" s="1193"/>
      <c r="K61" s="1193"/>
      <c r="L61" s="1365"/>
      <c r="M61" s="1200"/>
      <c r="N61" s="1200"/>
      <c r="P61" s="1195"/>
      <c r="Q61" s="1196"/>
      <c r="R61" s="1195"/>
      <c r="S61" s="1201"/>
      <c r="T61" s="1204" t="s">
        <v>290</v>
      </c>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3"/>
      <c r="AU61" s="1203"/>
      <c r="AV61" s="1203"/>
      <c r="AW61" s="1203"/>
      <c r="AX61" s="1203"/>
      <c r="AY61" s="1203"/>
      <c r="AZ61" s="1203"/>
      <c r="BA61" s="1203"/>
      <c r="BB61" s="1203"/>
      <c r="BC61" s="1203"/>
      <c r="BE61" s="687"/>
      <c r="BF61" s="687" t="str">
        <f t="shared" si="4"/>
        <v>Добавить централизованную систему для дифференциации</v>
      </c>
      <c r="BG61" s="687"/>
      <c r="BH61" s="687"/>
    </row>
    <row r="62" spans="1:60" s="14421" customFormat="1" ht="0" hidden="1" customHeight="1">
      <c r="A62" s="1221" t="s">
        <v>398</v>
      </c>
      <c r="B62" s="1221"/>
      <c r="C62" s="1221"/>
      <c r="D62" s="1221"/>
      <c r="E62" s="16124"/>
      <c r="F62" s="1221"/>
      <c r="G62" s="1221"/>
      <c r="H62" s="1221"/>
      <c r="I62" s="1221"/>
      <c r="J62" s="1221"/>
      <c r="K62" s="1221"/>
      <c r="L62" s="1224"/>
      <c r="M62" s="1200"/>
      <c r="N62" s="1200"/>
      <c r="O62" s="425"/>
      <c r="P62" s="295"/>
      <c r="Q62" s="1222"/>
      <c r="R62" s="295"/>
      <c r="S62" s="1201"/>
      <c r="T62" s="1204" t="s">
        <v>326</v>
      </c>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3"/>
      <c r="AU62" s="1203"/>
      <c r="AV62" s="1203"/>
      <c r="AW62" s="1203"/>
      <c r="AX62" s="1203"/>
      <c r="AY62" s="1203"/>
      <c r="AZ62" s="1203"/>
      <c r="BA62" s="1203"/>
      <c r="BB62" s="1203"/>
      <c r="BC62" s="1203"/>
      <c r="BE62" s="407"/>
      <c r="BF62" s="407" t="str">
        <f t="shared" si="4"/>
        <v>Добавить территорию для дифференциации</v>
      </c>
      <c r="BG62" s="407"/>
      <c r="BH62" s="407"/>
    </row>
    <row r="63" spans="1:60" s="14418" customFormat="1" ht="0" hidden="1" customHeight="1">
      <c r="A63" s="1193"/>
      <c r="B63" s="1193"/>
      <c r="C63" s="1193"/>
      <c r="D63" s="1193"/>
      <c r="E63" s="1221"/>
      <c r="F63" s="1193"/>
      <c r="G63" s="1193"/>
      <c r="H63" s="1193"/>
      <c r="I63" s="1193"/>
      <c r="J63" s="1193"/>
      <c r="K63" s="1193"/>
      <c r="L63" s="1365"/>
      <c r="M63" s="1200"/>
      <c r="N63" s="1200"/>
      <c r="P63" s="1195"/>
      <c r="Q63" s="1196"/>
      <c r="R63" s="1195"/>
      <c r="S63" s="1201"/>
      <c r="T63" s="1204" t="s">
        <v>390</v>
      </c>
      <c r="U63" s="1203"/>
      <c r="V63" s="1203"/>
      <c r="W63" s="1203"/>
      <c r="X63" s="1203"/>
      <c r="Y63" s="1203"/>
      <c r="Z63" s="1203"/>
      <c r="AA63" s="1203"/>
      <c r="AB63" s="1203"/>
      <c r="AC63" s="1203"/>
      <c r="AD63" s="1203"/>
      <c r="AE63" s="1203"/>
      <c r="AF63" s="1203"/>
      <c r="AG63" s="1203"/>
      <c r="AH63" s="1203"/>
      <c r="AI63" s="1203"/>
      <c r="AJ63" s="1203"/>
      <c r="AK63" s="1203"/>
      <c r="AL63" s="1203"/>
      <c r="AM63" s="1203"/>
      <c r="AN63" s="1203"/>
      <c r="AO63" s="1203"/>
      <c r="AP63" s="1203"/>
      <c r="AQ63" s="1203"/>
      <c r="AR63" s="1203"/>
      <c r="AS63" s="1203"/>
      <c r="AT63" s="1203"/>
      <c r="AU63" s="1203"/>
      <c r="AV63" s="1203"/>
      <c r="AW63" s="1203"/>
      <c r="AX63" s="1203"/>
      <c r="AY63" s="1203"/>
      <c r="AZ63" s="1203"/>
      <c r="BA63" s="1203"/>
      <c r="BB63" s="1203"/>
      <c r="BC63" s="1203"/>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5"/>
      <c r="T65" s="16144"/>
      <c r="U65" s="16144"/>
      <c r="V65" s="16144"/>
      <c r="W65" s="16144"/>
      <c r="X65" s="16144"/>
      <c r="Y65" s="16144"/>
      <c r="Z65" s="16144"/>
      <c r="AA65" s="16144"/>
      <c r="AB65" s="16144"/>
      <c r="AC65" s="16144"/>
      <c r="AD65" s="16144"/>
      <c r="AE65" s="16144"/>
      <c r="AF65" s="16144"/>
      <c r="AG65" s="16144"/>
      <c r="AH65" s="16144"/>
      <c r="AI65" s="16144"/>
      <c r="AJ65" s="16144"/>
      <c r="AK65" s="16144"/>
      <c r="AL65" s="16144"/>
      <c r="AM65" s="16144"/>
      <c r="AN65" s="16144"/>
      <c r="AO65" s="16144"/>
      <c r="AP65" s="16144"/>
      <c r="AQ65" s="16144"/>
      <c r="AR65" s="16144"/>
      <c r="AS65" s="16144"/>
      <c r="AT65" s="16144"/>
      <c r="AU65" s="16144"/>
      <c r="AV65" s="16144"/>
      <c r="AW65" s="16144"/>
      <c r="AX65" s="16144"/>
      <c r="AY65" s="16144"/>
      <c r="AZ65" s="16144"/>
      <c r="BA65" s="16144"/>
      <c r="BB65" s="16144"/>
      <c r="BC65" s="16144"/>
    </row>
    <row r="66" spans="15:55" ht="14.25" customHeight="1">
      <c r="O66" s="44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c r="AV66" s="1351"/>
      <c r="AW66" s="1351"/>
      <c r="AX66" s="1351"/>
      <c r="AY66" s="1351"/>
      <c r="AZ66" s="1351"/>
      <c r="BA66" s="1351"/>
      <c r="BB66" s="1351"/>
      <c r="BC66" s="1351"/>
    </row>
    <row r="67" spans="15:55" ht="18.75" customHeight="1">
      <c r="O67" s="443"/>
      <c r="S67" s="1135"/>
      <c r="T67" s="16144"/>
      <c r="U67" s="16144"/>
      <c r="V67" s="16144"/>
      <c r="W67" s="16144"/>
      <c r="X67" s="16144"/>
      <c r="Y67" s="16144"/>
      <c r="Z67" s="16144"/>
      <c r="AA67" s="16144"/>
      <c r="AB67" s="16144"/>
      <c r="AC67" s="16144"/>
      <c r="AD67" s="16144"/>
      <c r="AE67" s="16144"/>
      <c r="AF67" s="16144"/>
      <c r="AG67" s="16144"/>
      <c r="AH67" s="16144"/>
      <c r="AI67" s="16144"/>
      <c r="AJ67" s="16144"/>
      <c r="AK67" s="16144"/>
      <c r="AL67" s="16144"/>
      <c r="AM67" s="16144"/>
      <c r="AN67" s="16144"/>
      <c r="AO67" s="16144"/>
      <c r="AP67" s="16144"/>
      <c r="AQ67" s="16144"/>
      <c r="AR67" s="16144"/>
      <c r="AS67" s="16144"/>
      <c r="AT67" s="16144"/>
      <c r="AU67" s="16144"/>
      <c r="AV67" s="16144"/>
      <c r="AW67" s="16144"/>
      <c r="AX67" s="16144"/>
      <c r="AY67" s="16144"/>
      <c r="AZ67" s="16144"/>
      <c r="BA67" s="16144"/>
      <c r="BB67" s="16144"/>
      <c r="BC67" s="16144"/>
    </row>
    <row r="68" spans="15:55" ht="14.25" customHeight="1">
      <c r="O68" s="44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5860" hidden="1" customWidth="1"/>
    <col min="2" max="2" width="16.85546875" style="14419" hidden="1" customWidth="1"/>
    <col min="3" max="3" width="5.5703125" style="14432" hidden="1" customWidth="1"/>
    <col min="4" max="4" width="3.7109375" style="15861" customWidth="1"/>
    <col min="5" max="5" width="7.7109375" style="14433" customWidth="1"/>
    <col min="6" max="6" width="54.5703125" style="14433" customWidth="1"/>
    <col min="7" max="7" width="10.42578125" style="14433" customWidth="1"/>
    <col min="8" max="8" width="40.7109375" style="14433" hidden="1" customWidth="1"/>
    <col min="9" max="9" width="40.7109375" style="14433" customWidth="1"/>
    <col min="10" max="10" width="102.85546875" style="14433" customWidth="1"/>
    <col min="11" max="11" width="9.7109375" style="14419" customWidth="1"/>
    <col min="12" max="12" width="5.28515625" style="14432" customWidth="1"/>
    <col min="13" max="13" width="3.7109375" style="14432" customWidth="1"/>
    <col min="14" max="17" width="3.7109375" style="14419" customWidth="1"/>
    <col min="18" max="18" width="10.5703125" style="14432" customWidth="1"/>
    <col min="19" max="19" width="34.7109375" style="14419" customWidth="1"/>
    <col min="20" max="20" width="9.42578125" style="14419" customWidth="1"/>
    <col min="21" max="21" width="9.140625" style="15862"/>
    <col min="22" max="26" width="9.140625" style="14419"/>
    <col min="27" max="31" width="9.140625" style="15856"/>
  </cols>
  <sheetData>
    <row r="1" spans="1:31" ht="11.25" hidden="1" customHeight="1"/>
    <row r="2" spans="1:31" ht="23.25" hidden="1" customHeight="1">
      <c r="B2" s="15966"/>
      <c r="C2" s="1048" t="s">
        <v>683</v>
      </c>
      <c r="D2" s="1501"/>
      <c r="E2" s="452">
        <f>B2</f>
        <v>0</v>
      </c>
      <c r="F2" s="453"/>
      <c r="G2" s="1509" t="s">
        <v>684</v>
      </c>
      <c r="H2" s="1509" t="s">
        <v>684</v>
      </c>
      <c r="I2" s="1509" t="s">
        <v>684</v>
      </c>
      <c r="J2" s="206" t="s">
        <v>685</v>
      </c>
      <c r="K2" s="449"/>
    </row>
    <row r="3" spans="1:31" s="14432" customFormat="1" ht="0.75" hidden="1" customHeight="1">
      <c r="B3" s="15966"/>
      <c r="C3" s="1048"/>
      <c r="D3" s="454"/>
      <c r="E3" s="455"/>
      <c r="F3" s="456" t="s">
        <v>686</v>
      </c>
      <c r="G3" s="457"/>
      <c r="H3" s="457">
        <f>H4*H5+H7</f>
        <v>0</v>
      </c>
      <c r="I3" s="457">
        <f>I4*I5+I6</f>
        <v>0</v>
      </c>
      <c r="J3" s="458"/>
    </row>
    <row r="4" spans="1:31" ht="23.25" hidden="1" customHeight="1">
      <c r="B4" s="15966"/>
      <c r="C4" s="1048"/>
      <c r="D4" s="1501"/>
      <c r="E4" s="452" t="str">
        <f>B2&amp;".1"</f>
        <v>.1</v>
      </c>
      <c r="F4" s="459" t="s">
        <v>687</v>
      </c>
      <c r="G4" s="460"/>
      <c r="H4" s="447"/>
      <c r="I4" s="447"/>
      <c r="J4" s="206" t="s">
        <v>688</v>
      </c>
      <c r="K4" s="449"/>
    </row>
    <row r="5" spans="1:31" ht="18.75" hidden="1" customHeight="1">
      <c r="B5" s="15966"/>
      <c r="C5" s="1048"/>
      <c r="D5" s="1501"/>
      <c r="E5" s="452" t="str">
        <f>B2&amp;".2"</f>
        <v>.2</v>
      </c>
      <c r="F5" s="459" t="s">
        <v>689</v>
      </c>
      <c r="G5" s="1509" t="s">
        <v>690</v>
      </c>
      <c r="H5" s="447"/>
      <c r="I5" s="447"/>
      <c r="J5" s="206"/>
      <c r="K5" s="449"/>
    </row>
    <row r="6" spans="1:31" ht="18.75" hidden="1" customHeight="1">
      <c r="B6" s="15966"/>
      <c r="C6" s="1048"/>
      <c r="D6" s="1501"/>
      <c r="E6" s="452" t="str">
        <f>B2&amp;".3"</f>
        <v>.3</v>
      </c>
      <c r="F6" s="459" t="s">
        <v>691</v>
      </c>
      <c r="G6" s="1509" t="s">
        <v>690</v>
      </c>
      <c r="H6" s="447"/>
      <c r="I6" s="447"/>
      <c r="J6" s="206"/>
      <c r="K6" s="449"/>
    </row>
    <row r="7" spans="1:31" ht="18.75" hidden="1" customHeight="1">
      <c r="B7" s="15966"/>
      <c r="C7" s="1048"/>
      <c r="D7" s="1501"/>
      <c r="E7" s="452" t="str">
        <f>B2&amp;".4"</f>
        <v>.4</v>
      </c>
      <c r="F7" s="459" t="s">
        <v>692</v>
      </c>
      <c r="G7" s="1509" t="s">
        <v>684</v>
      </c>
      <c r="H7" s="461"/>
      <c r="I7" s="461"/>
      <c r="J7" s="206"/>
      <c r="K7" s="449"/>
    </row>
    <row r="8" spans="1:31" s="14419" customFormat="1" ht="11.25" hidden="1" customHeight="1">
      <c r="A8" s="876"/>
      <c r="C8" s="1499"/>
      <c r="D8" s="443"/>
      <c r="H8" s="1041">
        <v>4</v>
      </c>
      <c r="I8" s="1041">
        <v>4</v>
      </c>
      <c r="L8" s="1499"/>
      <c r="M8" s="1499"/>
      <c r="R8" s="1499"/>
    </row>
    <row r="9" spans="1:31" s="14419" customFormat="1" ht="22.5" hidden="1" customHeight="1">
      <c r="A9" s="876"/>
      <c r="C9" s="1499"/>
      <c r="D9" s="444"/>
      <c r="E9" s="1511"/>
      <c r="F9" s="446"/>
      <c r="G9" s="1509" t="s">
        <v>690</v>
      </c>
      <c r="H9" s="447"/>
      <c r="I9" s="447"/>
      <c r="J9" s="448" t="s">
        <v>693</v>
      </c>
      <c r="K9" s="449"/>
      <c r="L9" s="1499"/>
      <c r="M9" s="1499"/>
      <c r="R9" s="1499"/>
      <c r="U9" s="450"/>
      <c r="AA9" s="1495"/>
      <c r="AB9" s="1495"/>
      <c r="AC9" s="1495"/>
      <c r="AD9" s="1495"/>
      <c r="AE9" s="1495"/>
    </row>
    <row r="10" spans="1:31" ht="11.25" hidden="1" customHeight="1"/>
    <row r="11" spans="1:31" ht="18.75" hidden="1" customHeight="1">
      <c r="D11" s="1501"/>
      <c r="E11" s="452"/>
      <c r="F11" s="446"/>
      <c r="G11" s="1509" t="s">
        <v>694</v>
      </c>
      <c r="H11" s="447"/>
      <c r="I11" s="447"/>
      <c r="J11" s="206" t="s">
        <v>695</v>
      </c>
      <c r="K11" s="449"/>
    </row>
    <row r="12" spans="1:31" ht="11.25" hidden="1" customHeight="1"/>
    <row r="13" spans="1:31" ht="22.5" hidden="1" customHeight="1">
      <c r="D13" s="1501"/>
      <c r="E13" s="452"/>
      <c r="F13" s="446"/>
      <c r="G13" s="859" t="s">
        <v>696</v>
      </c>
      <c r="H13" s="451"/>
      <c r="I13" s="451"/>
      <c r="J13" s="644" t="s">
        <v>697</v>
      </c>
      <c r="K13" s="449"/>
    </row>
    <row r="14" spans="1:31" ht="11.25" hidden="1" customHeight="1"/>
    <row r="15" spans="1:31" ht="22.5" hidden="1" customHeight="1">
      <c r="D15" s="1501"/>
      <c r="E15" s="452"/>
      <c r="F15" s="446"/>
      <c r="G15" s="1509" t="s">
        <v>698</v>
      </c>
      <c r="H15" s="451"/>
      <c r="I15" s="451"/>
      <c r="J15" s="206" t="s">
        <v>699</v>
      </c>
      <c r="K15" s="449"/>
    </row>
    <row r="16" spans="1:31" ht="11.25" hidden="1" customHeight="1"/>
    <row r="17" spans="1:26" ht="22.5" hidden="1" customHeight="1">
      <c r="D17" s="1501"/>
      <c r="E17" s="452"/>
      <c r="F17" s="446"/>
      <c r="G17" s="1509" t="s">
        <v>700</v>
      </c>
      <c r="H17" s="451"/>
      <c r="I17" s="451"/>
      <c r="J17" s="206" t="s">
        <v>701</v>
      </c>
      <c r="K17" s="449"/>
    </row>
    <row r="18" spans="1:26" ht="11.25" hidden="1" customHeight="1"/>
    <row r="19" spans="1:26" s="15856" customFormat="1" ht="11.25" hidden="1" customHeight="1">
      <c r="A19" s="876"/>
      <c r="B19" s="1041"/>
      <c r="C19" s="1499"/>
      <c r="D19" s="278"/>
      <c r="J19" s="1495">
        <v>4</v>
      </c>
      <c r="K19" s="1041"/>
      <c r="L19" s="1499"/>
      <c r="M19" s="1499"/>
      <c r="N19" s="1041"/>
      <c r="O19" s="1041"/>
      <c r="P19" s="1041"/>
      <c r="Q19" s="1041"/>
      <c r="R19" s="1499"/>
      <c r="S19" s="1041"/>
      <c r="T19" s="1041"/>
      <c r="U19" s="450"/>
      <c r="V19" s="1041"/>
      <c r="W19" s="1041"/>
      <c r="X19" s="1041"/>
      <c r="Y19" s="1041"/>
      <c r="Z19" s="1041"/>
    </row>
    <row r="21" spans="1:26" ht="24" customHeight="1">
      <c r="E21" s="1610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16108"/>
      <c r="G21" s="16108"/>
      <c r="H21" s="16108"/>
      <c r="I21" s="16108"/>
      <c r="J21" s="462"/>
    </row>
    <row r="22" spans="1:26" ht="24" customHeight="1">
      <c r="E22" s="16056" t="str">
        <f>IF(org=0,"Не определено",org)</f>
        <v>АО "Мурманэнергосбыт"</v>
      </c>
      <c r="F22" s="16056"/>
      <c r="G22" s="16056"/>
      <c r="H22" s="16056"/>
      <c r="I22" s="16056"/>
    </row>
    <row r="23" spans="1:26" ht="11.25" customHeight="1">
      <c r="E23" s="1018"/>
      <c r="F23" s="1018"/>
      <c r="G23" s="1018"/>
      <c r="H23" s="1018"/>
      <c r="I23" s="1018"/>
    </row>
    <row r="24" spans="1:26" s="14432" customFormat="1" ht="0.75" customHeight="1">
      <c r="A24" s="1048"/>
      <c r="D24" s="1505"/>
      <c r="H24" s="783"/>
      <c r="I24" s="783" t="s">
        <v>152</v>
      </c>
    </row>
    <row r="25" spans="1:26" ht="11.25" customHeight="1">
      <c r="E25" s="611"/>
      <c r="F25" s="16203" t="s">
        <v>143</v>
      </c>
      <c r="G25" s="16204"/>
      <c r="H25" s="1515" t="str">
        <f>IF(H24="","",INDEX(DIFFERENTIATION_UNMERGE_VD,MATCH(H24,DIFFERENTIATION_ID_DIFF,0)))</f>
        <v/>
      </c>
      <c r="I25" s="1515">
        <f>IF(I24="","",INDEX(DIFFERENTIATION_UNMERGE_VD,MATCH(I24,DIFFERENTIATION_ID_DIFF,0)))</f>
        <v>0</v>
      </c>
      <c r="J25" s="15992"/>
    </row>
    <row r="26" spans="1:26" ht="11.25" customHeight="1">
      <c r="E26" s="611"/>
      <c r="F26" s="16203" t="s">
        <v>702</v>
      </c>
      <c r="G26" s="16204"/>
      <c r="H26" s="1515" t="str">
        <f>IF(H24="","",INDEX(DIFFERENTIATION_UNMERGE_AREA,MATCH(H24,DIFFERENTIATION_ID_DIFF,0)))</f>
        <v/>
      </c>
      <c r="I26" s="1515" t="str">
        <f>IF(I24="","",INDEX(DIFFERENTIATION_UNMERGE_AREA,MATCH(I24,DIFFERENTIATION_ID_DIFF,0)))</f>
        <v/>
      </c>
      <c r="J26" s="15992"/>
    </row>
    <row r="27" spans="1:26" ht="11.25" customHeight="1">
      <c r="E27" s="611"/>
      <c r="F27" s="16203" t="s">
        <v>703</v>
      </c>
      <c r="G27" s="16204"/>
      <c r="H27" s="1515" t="str">
        <f>IF(H24="","",INDEX(DIFFERENTIATION_UNMERGE_SYSTEM,MATCH(H24,DIFFERENTIATION_ID_DIFF,0)))</f>
        <v/>
      </c>
      <c r="I27" s="1515" t="str">
        <f>IF(I24="","",INDEX(DIFFERENTIATION_UNMERGE_SYSTEM,MATCH(I24,DIFFERENTIATION_ID_DIFF,0)))</f>
        <v>без дифференциации</v>
      </c>
      <c r="J27" s="15992"/>
    </row>
    <row r="28" spans="1:26" ht="11.25" customHeight="1">
      <c r="E28" s="16205" t="s">
        <v>437</v>
      </c>
      <c r="F28" s="16206"/>
      <c r="G28" s="16206"/>
      <c r="H28" s="1508"/>
      <c r="I28" s="1508"/>
      <c r="J28" s="15992"/>
    </row>
    <row r="29" spans="1:26" ht="22.5" customHeight="1">
      <c r="E29" s="1509" t="s">
        <v>87</v>
      </c>
      <c r="F29" s="1516" t="s">
        <v>439</v>
      </c>
      <c r="G29" s="1516" t="s">
        <v>704</v>
      </c>
      <c r="H29" s="1516" t="s">
        <v>440</v>
      </c>
      <c r="I29" s="1516" t="s">
        <v>440</v>
      </c>
      <c r="J29" s="15992"/>
    </row>
    <row r="30" spans="1:26" ht="18.75" customHeight="1">
      <c r="D30" s="1501"/>
      <c r="E30" s="452">
        <f>FHD_NUM_P_1</f>
        <v>1</v>
      </c>
      <c r="F30" s="1740" t="str">
        <f>FHD_P_1</f>
        <v>Выручка от регулируемых видов деятельности в сфере горячего водоснабжения</v>
      </c>
      <c r="G30" s="1738" t="s">
        <v>690</v>
      </c>
      <c r="H30" s="463"/>
      <c r="I30" s="463"/>
      <c r="J30" s="206" t="str">
        <f>FHD_NOTE_P_1</f>
        <v>Указывается выручка с распределением по видам деятельности.</v>
      </c>
      <c r="K30" s="449"/>
    </row>
    <row r="31" spans="1:26" ht="11.25" customHeight="1">
      <c r="D31" s="1501"/>
      <c r="E31" s="452">
        <f>FHD_NUM_P_2</f>
        <v>2</v>
      </c>
      <c r="F31" s="1740" t="str">
        <f>FHD_P_2</f>
        <v>Себестоимость производимых товаров (оказываемых услуг) по регулируемым видам деятельности в сфере горячего водоснабжения, включая:</v>
      </c>
      <c r="G31" s="1738" t="s">
        <v>690</v>
      </c>
      <c r="H31" s="464">
        <f>SUMIF($K33:$K71,$K31,H33:H71)</f>
        <v>0</v>
      </c>
      <c r="I31" s="464">
        <f>SUMIF($K33:$K71,$K31,I33:I71)</f>
        <v>0</v>
      </c>
      <c r="J31" s="206" t="str">
        <f>FHD_NOTE_P_2</f>
        <v>Указывается суммарная себестоимость производимых товаров.</v>
      </c>
      <c r="K31" s="1499" t="s">
        <v>705</v>
      </c>
    </row>
    <row r="32" spans="1:26" ht="11.25" customHeight="1">
      <c r="D32" s="1501"/>
      <c r="E32" s="452" t="str">
        <f>FHD_NUM_P_3</f>
        <v>2.1</v>
      </c>
      <c r="F32" s="1395" t="str">
        <f>FHD_P_3</f>
        <v>Расходы на приобретаемую тепловую энергию (мощность), используемую для горячего водоснабжения</v>
      </c>
      <c r="G32" s="1738" t="s">
        <v>690</v>
      </c>
      <c r="H32" s="463"/>
      <c r="I32" s="463"/>
      <c r="J32" s="206" t="str">
        <f>FHD_NOTE_P_3</f>
        <v/>
      </c>
      <c r="K32" s="1499" t="str">
        <f t="shared" ref="K32:K70" si="0">IF((LEN(E32)-LEN(SUBSTITUTE(E32,".","")))/LEN(".")=1,"p","")</f>
        <v>p</v>
      </c>
    </row>
    <row r="33" spans="1:31" ht="11.25" hidden="1" customHeight="1">
      <c r="A33" s="16207" t="s">
        <v>706</v>
      </c>
      <c r="D33" s="1501"/>
      <c r="E33" s="452" t="str">
        <f>FHD_NUM_P_4</f>
        <v/>
      </c>
      <c r="F33" s="1395" t="str">
        <f>FHD_P_4</f>
        <v/>
      </c>
      <c r="G33" s="1738" t="s">
        <v>690</v>
      </c>
      <c r="H33" s="464">
        <f>SUMIF($F34:$F40,$F3,H34:H40)</f>
        <v>0</v>
      </c>
      <c r="I33" s="464">
        <f>SUMIF($F34:$F40,$F3,I34:I40)</f>
        <v>0</v>
      </c>
      <c r="J33" s="206" t="str">
        <f>FHD_NOTE_P_4</f>
        <v/>
      </c>
      <c r="K33" s="1499" t="str">
        <f t="shared" si="0"/>
        <v/>
      </c>
    </row>
    <row r="34" spans="1:31" s="14431" customFormat="1" ht="0.75" hidden="1" customHeight="1">
      <c r="A34" s="16207"/>
      <c r="B34" s="16208" t="str">
        <f>E33&amp;".0"</f>
        <v>.0</v>
      </c>
      <c r="C34" s="1048"/>
      <c r="D34" s="466"/>
      <c r="E34" s="467"/>
      <c r="F34" s="468"/>
      <c r="G34" s="469"/>
      <c r="H34" s="404"/>
      <c r="I34" s="404"/>
      <c r="J34" s="470"/>
      <c r="K34" s="1499" t="str">
        <f t="shared" si="0"/>
        <v/>
      </c>
      <c r="L34" s="1499"/>
      <c r="M34" s="1499"/>
      <c r="N34" s="1499"/>
      <c r="O34" s="1499"/>
      <c r="P34" s="1499"/>
      <c r="Q34" s="1499"/>
      <c r="R34" s="1499"/>
      <c r="S34" s="1499"/>
      <c r="T34" s="1499"/>
      <c r="U34" s="471"/>
      <c r="V34" s="1499"/>
      <c r="W34" s="1499"/>
      <c r="X34" s="1499"/>
      <c r="Y34" s="1499"/>
      <c r="Z34" s="1499"/>
      <c r="AA34" s="472"/>
      <c r="AB34" s="472"/>
      <c r="AC34" s="472"/>
      <c r="AD34" s="472"/>
      <c r="AE34" s="472"/>
    </row>
    <row r="35" spans="1:31" s="14431" customFormat="1" ht="0.75" hidden="1" customHeight="1">
      <c r="A35" s="16207"/>
      <c r="B35" s="16208"/>
      <c r="C35" s="1048"/>
      <c r="D35" s="466"/>
      <c r="E35" s="473"/>
      <c r="F35" s="474"/>
      <c r="G35" s="469"/>
      <c r="H35" s="475"/>
      <c r="I35" s="475"/>
      <c r="J35" s="470"/>
      <c r="K35" s="1499" t="str">
        <f t="shared" si="0"/>
        <v/>
      </c>
      <c r="L35" s="1499"/>
      <c r="M35" s="1499"/>
      <c r="N35" s="1499"/>
      <c r="O35" s="1499"/>
      <c r="P35" s="1499"/>
      <c r="Q35" s="1499"/>
      <c r="R35" s="1499"/>
      <c r="S35" s="1499"/>
      <c r="T35" s="1499"/>
      <c r="U35" s="471"/>
      <c r="V35" s="1499"/>
      <c r="W35" s="1499"/>
      <c r="X35" s="1499"/>
      <c r="Y35" s="1499"/>
      <c r="Z35" s="1499"/>
      <c r="AA35" s="472"/>
      <c r="AB35" s="472"/>
      <c r="AC35" s="472"/>
      <c r="AD35" s="472"/>
      <c r="AE35" s="472"/>
    </row>
    <row r="36" spans="1:31" s="14431" customFormat="1" ht="0.75" hidden="1" customHeight="1">
      <c r="A36" s="16207"/>
      <c r="B36" s="16208"/>
      <c r="C36" s="1048"/>
      <c r="D36" s="466"/>
      <c r="E36" s="473"/>
      <c r="F36" s="474"/>
      <c r="G36" s="469"/>
      <c r="H36" s="475"/>
      <c r="I36" s="475"/>
      <c r="J36" s="470"/>
      <c r="K36" s="1499" t="str">
        <f t="shared" si="0"/>
        <v/>
      </c>
      <c r="L36" s="1499"/>
      <c r="M36" s="1499"/>
      <c r="N36" s="1499"/>
      <c r="O36" s="1499"/>
      <c r="P36" s="1499"/>
      <c r="Q36" s="1499"/>
      <c r="R36" s="1499"/>
      <c r="S36" s="1499"/>
      <c r="T36" s="1499"/>
      <c r="U36" s="471"/>
      <c r="V36" s="1499"/>
      <c r="W36" s="1499"/>
      <c r="X36" s="1499"/>
      <c r="Y36" s="1499"/>
      <c r="Z36" s="1499"/>
      <c r="AA36" s="472"/>
      <c r="AB36" s="472"/>
      <c r="AC36" s="472"/>
      <c r="AD36" s="472"/>
      <c r="AE36" s="472"/>
    </row>
    <row r="37" spans="1:31" s="14431" customFormat="1" ht="0.75" hidden="1" customHeight="1">
      <c r="A37" s="16207"/>
      <c r="B37" s="16208"/>
      <c r="C37" s="1048"/>
      <c r="D37" s="466"/>
      <c r="E37" s="473"/>
      <c r="F37" s="474"/>
      <c r="G37" s="469"/>
      <c r="H37" s="475"/>
      <c r="I37" s="475"/>
      <c r="J37" s="470"/>
      <c r="K37" s="1499" t="str">
        <f t="shared" si="0"/>
        <v/>
      </c>
      <c r="L37" s="1499"/>
      <c r="M37" s="1499"/>
      <c r="N37" s="1499"/>
      <c r="O37" s="1499"/>
      <c r="P37" s="1499"/>
      <c r="Q37" s="1499"/>
      <c r="R37" s="1499"/>
      <c r="S37" s="1499"/>
      <c r="T37" s="1499"/>
      <c r="U37" s="471"/>
      <c r="V37" s="1499"/>
      <c r="W37" s="1499"/>
      <c r="X37" s="1499"/>
      <c r="Y37" s="1499"/>
      <c r="Z37" s="1499"/>
      <c r="AA37" s="472"/>
      <c r="AB37" s="472"/>
      <c r="AC37" s="472"/>
      <c r="AD37" s="472"/>
      <c r="AE37" s="472"/>
    </row>
    <row r="38" spans="1:31" s="14431" customFormat="1" ht="0.75" hidden="1" customHeight="1">
      <c r="A38" s="16207"/>
      <c r="B38" s="16208"/>
      <c r="C38" s="1048"/>
      <c r="D38" s="466"/>
      <c r="E38" s="473"/>
      <c r="F38" s="474"/>
      <c r="G38" s="469"/>
      <c r="H38" s="475"/>
      <c r="I38" s="475"/>
      <c r="J38" s="470"/>
      <c r="K38" s="1499" t="str">
        <f t="shared" si="0"/>
        <v/>
      </c>
      <c r="L38" s="1499"/>
      <c r="M38" s="1499"/>
      <c r="N38" s="1499"/>
      <c r="O38" s="1499"/>
      <c r="P38" s="1499"/>
      <c r="Q38" s="1499"/>
      <c r="R38" s="1499"/>
      <c r="S38" s="1499"/>
      <c r="T38" s="1499"/>
      <c r="U38" s="471"/>
      <c r="V38" s="1499"/>
      <c r="W38" s="1499"/>
      <c r="X38" s="1499"/>
      <c r="Y38" s="1499"/>
      <c r="Z38" s="1499"/>
      <c r="AA38" s="472"/>
      <c r="AB38" s="472"/>
      <c r="AC38" s="472"/>
      <c r="AD38" s="472"/>
      <c r="AE38" s="472"/>
    </row>
    <row r="39" spans="1:31" s="14431" customFormat="1" ht="0.75" hidden="1" customHeight="1">
      <c r="A39" s="16207"/>
      <c r="B39" s="16208"/>
      <c r="C39" s="1048"/>
      <c r="D39" s="466"/>
      <c r="E39" s="473"/>
      <c r="F39" s="474"/>
      <c r="G39" s="469"/>
      <c r="H39" s="404"/>
      <c r="I39" s="404"/>
      <c r="J39" s="470"/>
      <c r="K39" s="1499" t="str">
        <f t="shared" si="0"/>
        <v/>
      </c>
      <c r="L39" s="1499"/>
      <c r="M39" s="1499"/>
      <c r="N39" s="1499"/>
      <c r="O39" s="1499"/>
      <c r="P39" s="1499"/>
      <c r="Q39" s="1499"/>
      <c r="R39" s="1499"/>
      <c r="S39" s="1499"/>
      <c r="T39" s="1499"/>
      <c r="U39" s="471"/>
      <c r="V39" s="1499"/>
      <c r="W39" s="1499"/>
      <c r="X39" s="1499"/>
      <c r="Y39" s="1499"/>
      <c r="Z39" s="1499"/>
      <c r="AA39" s="472"/>
      <c r="AB39" s="472"/>
      <c r="AC39" s="472"/>
      <c r="AD39" s="472"/>
      <c r="AE39" s="472"/>
    </row>
    <row r="40" spans="1:31" s="14419" customFormat="1" ht="15" hidden="1" customHeight="1">
      <c r="A40" s="16207"/>
      <c r="C40" s="1499"/>
      <c r="D40" s="1496"/>
      <c r="E40" s="476"/>
      <c r="F40" s="477" t="s">
        <v>707</v>
      </c>
      <c r="G40" s="478"/>
      <c r="H40" s="479"/>
      <c r="I40" s="479"/>
      <c r="J40" s="218"/>
      <c r="K40" s="1499" t="str">
        <f t="shared" si="0"/>
        <v/>
      </c>
      <c r="L40" s="1499"/>
      <c r="M40" s="1499"/>
      <c r="R40" s="1499"/>
      <c r="U40" s="450"/>
      <c r="AA40" s="1495"/>
      <c r="AB40" s="1495"/>
      <c r="AC40" s="1495"/>
      <c r="AD40" s="1495"/>
      <c r="AE40" s="1495"/>
    </row>
    <row r="41" spans="1:31" ht="11.25" customHeight="1">
      <c r="A41" s="16207" t="s">
        <v>708</v>
      </c>
      <c r="D41" s="1501"/>
      <c r="E41" s="452" t="str">
        <f>FHD_NUM_P_5</f>
        <v>2.2</v>
      </c>
      <c r="F41" s="1395" t="str">
        <f>FHD_P_5</f>
        <v>Расходы на тепловую энергию, производимую с применением собственных источников и используемую для горячего водоснабжения</v>
      </c>
      <c r="G41" s="1738" t="s">
        <v>690</v>
      </c>
      <c r="H41" s="463"/>
      <c r="I41" s="463"/>
      <c r="J41" s="206" t="str">
        <f>FHD_NOTE_P_5</f>
        <v/>
      </c>
      <c r="K41" s="1499" t="str">
        <f t="shared" si="0"/>
        <v>p</v>
      </c>
    </row>
    <row r="42" spans="1:31" ht="11.25" customHeight="1">
      <c r="A42" s="16207"/>
      <c r="D42" s="1501"/>
      <c r="E42" s="452" t="str">
        <f>FHD_NUM_P_6</f>
        <v>2.3</v>
      </c>
      <c r="F42" s="1395" t="str">
        <f>FHD_P_6</f>
        <v>Расходы на приобретаемую холодную воду, используемую для горячего водоснабжения</v>
      </c>
      <c r="G42" s="1738" t="s">
        <v>690</v>
      </c>
      <c r="H42" s="463"/>
      <c r="I42" s="463"/>
      <c r="J42" s="206" t="str">
        <f>FHD_NOTE_P_6</f>
        <v/>
      </c>
      <c r="K42" s="1499" t="str">
        <f t="shared" si="0"/>
        <v>p</v>
      </c>
    </row>
    <row r="43" spans="1:31" ht="11.25" customHeight="1">
      <c r="A43" s="16207"/>
      <c r="D43" s="1501"/>
      <c r="E43" s="452" t="str">
        <f>FHD_NUM_P_7</f>
        <v>2.4</v>
      </c>
      <c r="F43" s="139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38" t="s">
        <v>690</v>
      </c>
      <c r="H43" s="463"/>
      <c r="I43" s="463"/>
      <c r="J43" s="206" t="str">
        <f>FHD_NOTE_P_7</f>
        <v/>
      </c>
      <c r="K43" s="1499" t="str">
        <f t="shared" si="0"/>
        <v>p</v>
      </c>
    </row>
    <row r="44" spans="1:31" ht="11.25" customHeight="1">
      <c r="D44" s="1501"/>
      <c r="E44" s="452" t="str">
        <f>FHD_NUM_P_8</f>
        <v>2.5</v>
      </c>
      <c r="F44" s="1395" t="str">
        <f>FHD_P_8</f>
        <v>Расходы на приобретаемую электрическую энергию (мощность), используемую в технологическом процессе</v>
      </c>
      <c r="G44" s="1738" t="s">
        <v>690</v>
      </c>
      <c r="H44" s="463"/>
      <c r="I44" s="463"/>
      <c r="J44" s="206" t="str">
        <f>FHD_NOTE_P_8</f>
        <v/>
      </c>
      <c r="K44" s="1499" t="str">
        <f t="shared" si="0"/>
        <v>p</v>
      </c>
    </row>
    <row r="45" spans="1:31" ht="11.25" customHeight="1">
      <c r="D45" s="1501"/>
      <c r="E45" s="452" t="str">
        <f>FHD_NUM_P_9</f>
        <v>2.5.1</v>
      </c>
      <c r="F45" s="1513" t="str">
        <f>FHD_P_9</f>
        <v>Средневзвешенная стоимость 1 кВт.ч (с учетом мощности)</v>
      </c>
      <c r="G45" s="1738" t="s">
        <v>709</v>
      </c>
      <c r="H45" s="463"/>
      <c r="I45" s="463"/>
      <c r="J45" s="206" t="str">
        <f>FHD_NOTE_P_9</f>
        <v/>
      </c>
      <c r="K45" s="1499" t="str">
        <f t="shared" si="0"/>
        <v/>
      </c>
    </row>
    <row r="46" spans="1:31" s="14419" customFormat="1" ht="11.25" customHeight="1">
      <c r="A46" s="876"/>
      <c r="C46" s="1499"/>
      <c r="D46" s="480"/>
      <c r="E46" s="452" t="str">
        <f>FHD_NUM_P_10</f>
        <v>2.5.2</v>
      </c>
      <c r="F46" s="1513" t="str">
        <f>FHD_P_10</f>
        <v>Объём приобретения электрической энергии</v>
      </c>
      <c r="G46" s="1738" t="s">
        <v>710</v>
      </c>
      <c r="H46" s="463"/>
      <c r="I46" s="463"/>
      <c r="J46" s="206" t="str">
        <f>FHD_NOTE_P_10</f>
        <v/>
      </c>
      <c r="K46" s="1499" t="str">
        <f t="shared" si="0"/>
        <v/>
      </c>
      <c r="L46" s="1499"/>
      <c r="M46" s="1499"/>
      <c r="R46" s="1499"/>
      <c r="U46" s="450"/>
      <c r="AA46" s="1495"/>
      <c r="AB46" s="1495"/>
      <c r="AC46" s="1495"/>
      <c r="AD46" s="1495"/>
      <c r="AE46" s="1495"/>
    </row>
    <row r="47" spans="1:31" s="14419" customFormat="1" ht="11.25" hidden="1" customHeight="1">
      <c r="A47" s="878" t="s">
        <v>711</v>
      </c>
      <c r="C47" s="1499"/>
      <c r="D47" s="481"/>
      <c r="E47" s="452" t="str">
        <f>FHD_NUM_P_11</f>
        <v/>
      </c>
      <c r="F47" s="1395" t="str">
        <f>FHD_P_11</f>
        <v/>
      </c>
      <c r="G47" s="1738" t="s">
        <v>690</v>
      </c>
      <c r="H47" s="463"/>
      <c r="I47" s="463"/>
      <c r="J47" s="206" t="str">
        <f>FHD_NOTE_P_11</f>
        <v/>
      </c>
      <c r="K47" s="1499" t="str">
        <f t="shared" si="0"/>
        <v/>
      </c>
      <c r="L47" s="1499"/>
      <c r="M47" s="1499"/>
      <c r="R47" s="1499"/>
      <c r="U47" s="450"/>
      <c r="AA47" s="1495"/>
      <c r="AB47" s="1495"/>
      <c r="AC47" s="1495"/>
      <c r="AD47" s="1495"/>
      <c r="AE47" s="1495"/>
    </row>
    <row r="48" spans="1:31" s="14419" customFormat="1" ht="18" hidden="1" customHeight="1">
      <c r="A48" s="878" t="s">
        <v>712</v>
      </c>
      <c r="C48" s="1499"/>
      <c r="D48" s="1501"/>
      <c r="E48" s="452" t="str">
        <f>FHD_NUM_P_12</f>
        <v/>
      </c>
      <c r="F48" s="1395" t="str">
        <f>FHD_P_12</f>
        <v/>
      </c>
      <c r="G48" s="1738" t="s">
        <v>690</v>
      </c>
      <c r="H48" s="483"/>
      <c r="I48" s="483"/>
      <c r="J48" s="206" t="str">
        <f>FHD_NOTE_P_12</f>
        <v/>
      </c>
      <c r="K48" s="1499" t="str">
        <f t="shared" si="0"/>
        <v/>
      </c>
      <c r="L48" s="1499"/>
      <c r="M48" s="1499"/>
      <c r="R48" s="1499"/>
      <c r="U48" s="450"/>
      <c r="AA48" s="1495"/>
      <c r="AB48" s="1495"/>
      <c r="AC48" s="1495"/>
      <c r="AD48" s="1495"/>
      <c r="AE48" s="1495"/>
    </row>
    <row r="49" spans="1:31" s="15857" customFormat="1" ht="11.25" customHeight="1">
      <c r="A49" s="877"/>
      <c r="C49" s="630"/>
      <c r="D49" s="575"/>
      <c r="E49" s="452" t="str">
        <f>FHD_NUM_P_13</f>
        <v>2.6</v>
      </c>
      <c r="F49" s="139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8" t="s">
        <v>690</v>
      </c>
      <c r="H49" s="463"/>
      <c r="I49" s="463"/>
      <c r="J49" s="206" t="str">
        <f>FHD_NOTE_P_13</f>
        <v>Указывается общая сумма расходов на оплату труда и отчислений на социальные нужды основного производственного персонала.</v>
      </c>
      <c r="K49" s="1499" t="str">
        <f t="shared" si="0"/>
        <v>p</v>
      </c>
      <c r="L49" s="630"/>
      <c r="M49" s="630"/>
      <c r="R49" s="630"/>
      <c r="U49" s="631"/>
      <c r="AA49" s="632"/>
      <c r="AB49" s="632"/>
      <c r="AC49" s="632"/>
      <c r="AD49" s="632"/>
      <c r="AE49" s="632"/>
    </row>
    <row r="50" spans="1:31" s="15857" customFormat="1" ht="11.25" customHeight="1">
      <c r="A50" s="877"/>
      <c r="C50" s="630"/>
      <c r="D50" s="575"/>
      <c r="E50" s="452" t="str">
        <f>FHD_NUM_P_14</f>
        <v>2.6.1</v>
      </c>
      <c r="F50" s="1513" t="str">
        <f>FHD_P_14</f>
        <v>Расходы на оплату труда основного производственного персонала</v>
      </c>
      <c r="G50" s="1738" t="s">
        <v>690</v>
      </c>
      <c r="H50" s="463"/>
      <c r="I50" s="463"/>
      <c r="J50" s="206" t="str">
        <f>FHD_NOTE_P_14</f>
        <v/>
      </c>
      <c r="K50" s="1499" t="str">
        <f t="shared" si="0"/>
        <v/>
      </c>
      <c r="L50" s="630"/>
      <c r="M50" s="630"/>
      <c r="R50" s="630"/>
      <c r="U50" s="631"/>
      <c r="AA50" s="632"/>
      <c r="AB50" s="632"/>
      <c r="AC50" s="632"/>
      <c r="AD50" s="632"/>
      <c r="AE50" s="632"/>
    </row>
    <row r="51" spans="1:31" s="15857" customFormat="1" ht="11.25" customHeight="1">
      <c r="A51" s="877"/>
      <c r="C51" s="630"/>
      <c r="D51" s="575"/>
      <c r="E51" s="452" t="str">
        <f>FHD_NUM_P_15</f>
        <v>2.6.2</v>
      </c>
      <c r="F51" s="1513" t="str">
        <f>FHD_P_15</f>
        <v>Страховые взносы на обязательное социальное страхование, выплачиваемые из фонда оплаты труда основного производственного персонала</v>
      </c>
      <c r="G51" s="1738" t="s">
        <v>690</v>
      </c>
      <c r="H51" s="463"/>
      <c r="I51" s="463"/>
      <c r="J51" s="206" t="str">
        <f>FHD_NOTE_P_15</f>
        <v/>
      </c>
      <c r="K51" s="1499" t="str">
        <f t="shared" si="0"/>
        <v/>
      </c>
      <c r="L51" s="630"/>
      <c r="M51" s="630"/>
      <c r="R51" s="630"/>
      <c r="U51" s="631"/>
      <c r="AA51" s="632"/>
      <c r="AB51" s="632"/>
      <c r="AC51" s="632"/>
      <c r="AD51" s="632"/>
      <c r="AE51" s="632"/>
    </row>
    <row r="52" spans="1:31" s="14419" customFormat="1" ht="11.25" customHeight="1">
      <c r="A52" s="876"/>
      <c r="C52" s="1499"/>
      <c r="D52" s="1501"/>
      <c r="E52" s="452" t="str">
        <f>FHD_NUM_P_16</f>
        <v>2.7</v>
      </c>
      <c r="F52" s="139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8" t="s">
        <v>690</v>
      </c>
      <c r="H52" s="463"/>
      <c r="I52" s="463"/>
      <c r="J52" s="206" t="str">
        <f>FHD_NOTE_P_16</f>
        <v>Указывается общая сумма расходов на оплату труда и отчислений на социальные нужды административно-управленческого персонала.</v>
      </c>
      <c r="K52" s="1499" t="str">
        <f t="shared" si="0"/>
        <v>p</v>
      </c>
      <c r="L52" s="1499"/>
      <c r="M52" s="1505"/>
      <c r="N52" s="443"/>
      <c r="O52" s="443"/>
      <c r="R52" s="1499"/>
      <c r="U52" s="450"/>
      <c r="AA52" s="1495"/>
      <c r="AB52" s="1495"/>
      <c r="AC52" s="1495"/>
      <c r="AD52" s="1495"/>
      <c r="AE52" s="1495"/>
    </row>
    <row r="53" spans="1:31" s="14419" customFormat="1" ht="11.25" customHeight="1">
      <c r="A53" s="876"/>
      <c r="C53" s="1499"/>
      <c r="D53" s="1501"/>
      <c r="E53" s="452" t="str">
        <f>FHD_NUM_P_17</f>
        <v>2.7.1</v>
      </c>
      <c r="F53" s="1513" t="str">
        <f>FHD_P_17</f>
        <v>Расходы на оплату труда административно-управленческого персонала</v>
      </c>
      <c r="G53" s="1738" t="s">
        <v>690</v>
      </c>
      <c r="H53" s="463"/>
      <c r="I53" s="463"/>
      <c r="J53" s="206" t="str">
        <f>FHD_NOTE_P_17</f>
        <v/>
      </c>
      <c r="K53" s="1499" t="str">
        <f t="shared" si="0"/>
        <v/>
      </c>
      <c r="L53" s="1499"/>
      <c r="M53" s="1505"/>
      <c r="N53" s="443"/>
      <c r="O53" s="443"/>
      <c r="R53" s="1499"/>
      <c r="U53" s="450"/>
      <c r="AA53" s="1495"/>
      <c r="AB53" s="1495"/>
      <c r="AC53" s="1495"/>
      <c r="AD53" s="1495"/>
      <c r="AE53" s="1495"/>
    </row>
    <row r="54" spans="1:31" s="14419" customFormat="1" ht="11.25" customHeight="1">
      <c r="A54" s="876"/>
      <c r="C54" s="1499"/>
      <c r="D54" s="1501"/>
      <c r="E54" s="452" t="str">
        <f>FHD_NUM_P_18</f>
        <v>2.7.2</v>
      </c>
      <c r="F54" s="15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8" t="s">
        <v>690</v>
      </c>
      <c r="H54" s="463"/>
      <c r="I54" s="463"/>
      <c r="J54" s="206" t="str">
        <f>FHD_NOTE_P_18</f>
        <v/>
      </c>
      <c r="K54" s="1499" t="str">
        <f t="shared" si="0"/>
        <v/>
      </c>
      <c r="L54" s="1499"/>
      <c r="M54" s="1505"/>
      <c r="N54" s="443"/>
      <c r="O54" s="443"/>
      <c r="R54" s="1499"/>
      <c r="U54" s="450"/>
      <c r="AA54" s="1495"/>
      <c r="AB54" s="1495"/>
      <c r="AC54" s="1495"/>
      <c r="AD54" s="1495"/>
      <c r="AE54" s="1495"/>
    </row>
    <row r="55" spans="1:31" s="14419" customFormat="1" ht="11.25" customHeight="1">
      <c r="A55" s="876"/>
      <c r="C55" s="1499"/>
      <c r="D55" s="481"/>
      <c r="E55" s="452" t="str">
        <f>FHD_NUM_P_19</f>
        <v>2.8</v>
      </c>
      <c r="F55" s="1395" t="str">
        <f>FHD_P_19</f>
        <v>Расходы на амортизацию основных средств и нематериальных активов</v>
      </c>
      <c r="G55" s="1738" t="s">
        <v>690</v>
      </c>
      <c r="H55" s="463"/>
      <c r="I55" s="463"/>
      <c r="J55" s="206" t="str">
        <f>FHD_NOTE_P_19</f>
        <v/>
      </c>
      <c r="K55" s="1499" t="str">
        <f t="shared" si="0"/>
        <v>p</v>
      </c>
      <c r="L55" s="1499"/>
      <c r="M55" s="1499"/>
      <c r="R55" s="1499"/>
      <c r="U55" s="450"/>
      <c r="AA55" s="1495"/>
      <c r="AB55" s="1495"/>
      <c r="AC55" s="1495"/>
      <c r="AD55" s="1495"/>
      <c r="AE55" s="1495"/>
    </row>
    <row r="56" spans="1:31" s="14419" customFormat="1" ht="11.25" customHeight="1">
      <c r="A56" s="876"/>
      <c r="C56" s="1499"/>
      <c r="D56" s="481"/>
      <c r="E56" s="452" t="str">
        <f>FHD_NUM_P_20</f>
        <v>2.8.1</v>
      </c>
      <c r="F56" s="1513" t="str">
        <f>FHD_P_20</f>
        <v>Расходы на амортизацию основных средств</v>
      </c>
      <c r="G56" s="1738" t="s">
        <v>690</v>
      </c>
      <c r="H56" s="463"/>
      <c r="I56" s="463"/>
      <c r="J56" s="206" t="str">
        <f>FHD_NOTE_P_20</f>
        <v/>
      </c>
      <c r="K56" s="1499" t="str">
        <f t="shared" si="0"/>
        <v/>
      </c>
      <c r="L56" s="1499"/>
      <c r="M56" s="1499"/>
      <c r="R56" s="1499"/>
      <c r="U56" s="450"/>
      <c r="AA56" s="1495"/>
      <c r="AB56" s="1495"/>
      <c r="AC56" s="1495"/>
      <c r="AD56" s="1495"/>
      <c r="AE56" s="1495"/>
    </row>
    <row r="57" spans="1:31" s="14419" customFormat="1" ht="11.25" customHeight="1">
      <c r="A57" s="876"/>
      <c r="C57" s="1499"/>
      <c r="D57" s="481"/>
      <c r="E57" s="452" t="str">
        <f>FHD_NUM_P_21</f>
        <v>2.8.2</v>
      </c>
      <c r="F57" s="1513" t="str">
        <f>FHD_P_21</f>
        <v>Расходы на амортизацию нематериальных активов</v>
      </c>
      <c r="G57" s="1738" t="s">
        <v>690</v>
      </c>
      <c r="H57" s="463"/>
      <c r="I57" s="463"/>
      <c r="J57" s="206" t="str">
        <f>FHD_NOTE_P_21</f>
        <v/>
      </c>
      <c r="K57" s="1499" t="str">
        <f t="shared" si="0"/>
        <v/>
      </c>
      <c r="L57" s="1499"/>
      <c r="M57" s="1499"/>
      <c r="R57" s="1499"/>
      <c r="U57" s="450"/>
      <c r="AA57" s="1495"/>
      <c r="AB57" s="1495"/>
      <c r="AC57" s="1495"/>
      <c r="AD57" s="1495"/>
      <c r="AE57" s="1495"/>
    </row>
    <row r="58" spans="1:31" s="14419" customFormat="1" ht="11.25" customHeight="1">
      <c r="A58" s="876"/>
      <c r="C58" s="1499"/>
      <c r="D58" s="1501"/>
      <c r="E58" s="452" t="str">
        <f>FHD_NUM_P_22</f>
        <v>2.9</v>
      </c>
      <c r="F58" s="1395" t="str">
        <f>FHD_P_22</f>
        <v>Расходы на аренду имущества, используемого для осуществления регулируемых видов деятельности в сфере горячего водоснабжения</v>
      </c>
      <c r="G58" s="1738" t="s">
        <v>690</v>
      </c>
      <c r="H58" s="463"/>
      <c r="I58" s="463"/>
      <c r="J58" s="206" t="str">
        <f>FHD_NOTE_P_22</f>
        <v/>
      </c>
      <c r="K58" s="1499" t="str">
        <f t="shared" si="0"/>
        <v>p</v>
      </c>
      <c r="L58" s="1499"/>
      <c r="M58" s="1499"/>
      <c r="R58" s="1499"/>
      <c r="U58" s="450"/>
      <c r="AA58" s="1495"/>
      <c r="AB58" s="1495"/>
      <c r="AC58" s="1495"/>
      <c r="AD58" s="1495"/>
      <c r="AE58" s="1495"/>
    </row>
    <row r="59" spans="1:31" s="14419" customFormat="1" ht="11.25" customHeight="1">
      <c r="A59" s="876"/>
      <c r="C59" s="1499"/>
      <c r="D59" s="481"/>
      <c r="E59" s="452" t="str">
        <f>FHD_NUM_P_23</f>
        <v>2.10</v>
      </c>
      <c r="F59" s="1395" t="str">
        <f>FHD_P_23</f>
        <v>Общепроизводственные расходы, в том числе:</v>
      </c>
      <c r="G59" s="1738" t="s">
        <v>690</v>
      </c>
      <c r="H59" s="463"/>
      <c r="I59" s="463"/>
      <c r="J59" s="206" t="str">
        <f>FHD_NOTE_P_23</f>
        <v>Указывается общая сумма общепроизводственных расходов.</v>
      </c>
      <c r="K59" s="1499" t="str">
        <f t="shared" si="0"/>
        <v>p</v>
      </c>
      <c r="L59" s="1499"/>
      <c r="M59" s="1499"/>
      <c r="R59" s="1499"/>
      <c r="U59" s="450"/>
      <c r="AA59" s="1495"/>
      <c r="AB59" s="1495"/>
      <c r="AC59" s="1495"/>
      <c r="AD59" s="1495"/>
      <c r="AE59" s="1495"/>
    </row>
    <row r="60" spans="1:31" s="14419" customFormat="1" ht="11.25" customHeight="1">
      <c r="A60" s="876"/>
      <c r="C60" s="1499"/>
      <c r="D60" s="481"/>
      <c r="E60" s="452" t="str">
        <f>FHD_NUM_P_24</f>
        <v>2.10.1</v>
      </c>
      <c r="F60" s="1513" t="str">
        <f>FHD_P_24</f>
        <v>Расходы на текущий ремонт</v>
      </c>
      <c r="G60" s="1738" t="s">
        <v>690</v>
      </c>
      <c r="H60" s="463"/>
      <c r="I60" s="463"/>
      <c r="J60" s="206" t="str">
        <f>FHD_NOTE_P_24</f>
        <v>Указываются расходы на текущий ремонт, отнесенные к общепроизводственным расходам.</v>
      </c>
      <c r="K60" s="1499" t="str">
        <f t="shared" si="0"/>
        <v/>
      </c>
      <c r="L60" s="1499"/>
      <c r="M60" s="1499"/>
      <c r="R60" s="1499"/>
      <c r="U60" s="450"/>
      <c r="AA60" s="1495"/>
      <c r="AB60" s="1495"/>
      <c r="AC60" s="1495"/>
      <c r="AD60" s="1495"/>
      <c r="AE60" s="1495"/>
    </row>
    <row r="61" spans="1:31" s="14419" customFormat="1" ht="11.25" customHeight="1">
      <c r="A61" s="876"/>
      <c r="C61" s="1499"/>
      <c r="D61" s="481"/>
      <c r="E61" s="452" t="str">
        <f>FHD_NUM_P_25</f>
        <v>2.10.2</v>
      </c>
      <c r="F61" s="1513" t="str">
        <f>FHD_P_25</f>
        <v>Расходы на капитальный ремонт</v>
      </c>
      <c r="G61" s="1738" t="s">
        <v>690</v>
      </c>
      <c r="H61" s="463"/>
      <c r="I61" s="463"/>
      <c r="J61" s="206" t="str">
        <f>FHD_NOTE_P_25</f>
        <v>Указываются расходы на капитальный ремонт, отнесенные к общепроизводственным расходам.</v>
      </c>
      <c r="K61" s="1499" t="str">
        <f t="shared" si="0"/>
        <v/>
      </c>
      <c r="L61" s="1499"/>
      <c r="M61" s="1499"/>
      <c r="R61" s="1499"/>
      <c r="U61" s="450"/>
      <c r="AA61" s="1495"/>
      <c r="AB61" s="1495"/>
      <c r="AC61" s="1495"/>
      <c r="AD61" s="1495"/>
      <c r="AE61" s="1495"/>
    </row>
    <row r="62" spans="1:31" s="14419" customFormat="1" ht="11.25" customHeight="1">
      <c r="A62" s="876"/>
      <c r="C62" s="1499"/>
      <c r="D62" s="1501"/>
      <c r="E62" s="452" t="str">
        <f>FHD_NUM_P_26</f>
        <v>2.11</v>
      </c>
      <c r="F62" s="1395" t="str">
        <f>FHD_P_26</f>
        <v>Общехозяйственные расходы, в том числе:</v>
      </c>
      <c r="G62" s="1738" t="s">
        <v>690</v>
      </c>
      <c r="H62" s="463"/>
      <c r="I62" s="463"/>
      <c r="J62" s="206" t="str">
        <f>FHD_NOTE_P_26</f>
        <v>Указывается общая сумма общехозяйственных расходов.</v>
      </c>
      <c r="K62" s="1499" t="str">
        <f t="shared" si="0"/>
        <v>p</v>
      </c>
      <c r="L62" s="1499"/>
      <c r="M62" s="1499"/>
      <c r="R62" s="1499"/>
      <c r="U62" s="450"/>
      <c r="AA62" s="1495"/>
      <c r="AB62" s="1495"/>
      <c r="AC62" s="1495"/>
      <c r="AD62" s="1495"/>
      <c r="AE62" s="1495"/>
    </row>
    <row r="63" spans="1:31" s="14419" customFormat="1" ht="11.25" customHeight="1">
      <c r="A63" s="876"/>
      <c r="C63" s="1499"/>
      <c r="D63" s="1501"/>
      <c r="E63" s="452" t="str">
        <f>FHD_NUM_P_27</f>
        <v>2.11.1</v>
      </c>
      <c r="F63" s="1513" t="str">
        <f>FHD_P_27</f>
        <v>Расходы на текущий ремонт</v>
      </c>
      <c r="G63" s="1738" t="s">
        <v>690</v>
      </c>
      <c r="H63" s="463"/>
      <c r="I63" s="463"/>
      <c r="J63" s="206" t="str">
        <f>FHD_NOTE_P_27</f>
        <v>Указываются расходы на текущий ремонт, отнесенные к общехозяйственным расходам.</v>
      </c>
      <c r="K63" s="1499" t="str">
        <f t="shared" si="0"/>
        <v/>
      </c>
      <c r="L63" s="1499"/>
      <c r="M63" s="1499"/>
      <c r="R63" s="1499"/>
      <c r="U63" s="450"/>
      <c r="AA63" s="1495"/>
      <c r="AB63" s="1495"/>
      <c r="AC63" s="1495"/>
      <c r="AD63" s="1495"/>
      <c r="AE63" s="1495"/>
    </row>
    <row r="64" spans="1:31" s="14419" customFormat="1" ht="11.25" customHeight="1">
      <c r="A64" s="876"/>
      <c r="C64" s="1499"/>
      <c r="D64" s="1501"/>
      <c r="E64" s="452" t="str">
        <f>FHD_NUM_P_28</f>
        <v>2.11.2</v>
      </c>
      <c r="F64" s="1513" t="str">
        <f>FHD_P_28</f>
        <v>Расходы на капитальный ремонт</v>
      </c>
      <c r="G64" s="1738" t="s">
        <v>690</v>
      </c>
      <c r="H64" s="463"/>
      <c r="I64" s="463"/>
      <c r="J64" s="206" t="str">
        <f>FHD_NOTE_P_28</f>
        <v>Указываются расходы на капитальный ремонт, отнесенные к общехозяйственным расходам.</v>
      </c>
      <c r="K64" s="1499" t="str">
        <f t="shared" si="0"/>
        <v/>
      </c>
      <c r="L64" s="1499"/>
      <c r="M64" s="1499"/>
      <c r="R64" s="1499"/>
      <c r="U64" s="450"/>
      <c r="AA64" s="1495"/>
      <c r="AB64" s="1495"/>
      <c r="AC64" s="1495"/>
      <c r="AD64" s="1495"/>
      <c r="AE64" s="1495"/>
    </row>
    <row r="65" spans="1:31" s="14419" customFormat="1" ht="11.25" customHeight="1">
      <c r="A65" s="876"/>
      <c r="C65" s="1499"/>
      <c r="D65" s="1501"/>
      <c r="E65" s="452" t="str">
        <f>FHD_NUM_P_29</f>
        <v>2.12</v>
      </c>
      <c r="F65" s="1395" t="str">
        <f>FHD_P_29</f>
        <v>Расходы на капитальный и текущий ремонт основных средств</v>
      </c>
      <c r="G65" s="1738" t="s">
        <v>690</v>
      </c>
      <c r="H65" s="463"/>
      <c r="I65" s="463"/>
      <c r="J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9" t="str">
        <f t="shared" si="0"/>
        <v>p</v>
      </c>
      <c r="L65" s="1499"/>
      <c r="M65" s="1499"/>
      <c r="R65" s="1499"/>
      <c r="U65" s="450"/>
      <c r="AA65" s="1495"/>
      <c r="AB65" s="1495"/>
      <c r="AC65" s="1495"/>
      <c r="AD65" s="1495"/>
      <c r="AE65" s="1495"/>
    </row>
    <row r="66" spans="1:31" s="14419" customFormat="1" ht="11.25" customHeight="1">
      <c r="A66" s="876"/>
      <c r="C66" s="1499"/>
      <c r="D66" s="1501"/>
      <c r="E66" s="452" t="str">
        <f>FHD_NUM_P_30</f>
        <v>2.12.1</v>
      </c>
      <c r="F66" s="15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8" t="s">
        <v>443</v>
      </c>
      <c r="H66" s="1512" t="s">
        <v>713</v>
      </c>
      <c r="I66" s="1512" t="s">
        <v>713</v>
      </c>
      <c r="J66" s="206" t="str">
        <f>FHD_NOTE_P_30</f>
        <v/>
      </c>
      <c r="K66" s="1499" t="str">
        <f t="shared" si="0"/>
        <v/>
      </c>
      <c r="L66" s="1499">
        <f>IFERROR(MATCH("есть",B_FHD_FLAG_INDEX_1,0),0)</f>
        <v>0</v>
      </c>
      <c r="M66" s="1499"/>
      <c r="R66" s="1499"/>
      <c r="U66" s="450"/>
      <c r="AA66" s="1495"/>
      <c r="AB66" s="1495"/>
      <c r="AC66" s="1495"/>
      <c r="AD66" s="1495"/>
      <c r="AE66" s="1495"/>
    </row>
    <row r="67" spans="1:31" s="14419" customFormat="1" ht="22.5" customHeight="1">
      <c r="A67" s="16207" t="s">
        <v>714</v>
      </c>
      <c r="C67" s="1499"/>
      <c r="D67" s="1501"/>
      <c r="E67" s="452" t="str">
        <f>FHD_NUM_P_31</f>
        <v>2.13</v>
      </c>
      <c r="F67" s="139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38" t="s">
        <v>690</v>
      </c>
      <c r="H67" s="463"/>
      <c r="I67" s="463"/>
      <c r="J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99" t="str">
        <f t="shared" si="0"/>
        <v>p</v>
      </c>
      <c r="L67" s="1499"/>
      <c r="M67" s="1499"/>
      <c r="R67" s="1499"/>
      <c r="U67" s="450"/>
      <c r="AA67" s="1495"/>
      <c r="AB67" s="1495"/>
      <c r="AC67" s="1495"/>
      <c r="AD67" s="1495"/>
      <c r="AE67" s="1495"/>
    </row>
    <row r="68" spans="1:31" s="14419" customFormat="1" ht="45" customHeight="1">
      <c r="A68" s="16207"/>
      <c r="C68" s="1499"/>
      <c r="D68" s="1501"/>
      <c r="E68" s="452" t="str">
        <f>FHD_NUM_P_32</f>
        <v>2.13.1</v>
      </c>
      <c r="F68" s="15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38" t="s">
        <v>443</v>
      </c>
      <c r="H68" s="1512" t="s">
        <v>713</v>
      </c>
      <c r="I68" s="1512" t="s">
        <v>713</v>
      </c>
      <c r="J68" s="206" t="str">
        <f>FHD_NOTE_P_32</f>
        <v/>
      </c>
      <c r="K68" s="1499" t="str">
        <f t="shared" si="0"/>
        <v/>
      </c>
      <c r="L68" s="1499">
        <f>IFERROR(MATCH("есть",B_FHD_FLAG_INDEX_2,0),0)</f>
        <v>0</v>
      </c>
      <c r="M68" s="1499"/>
      <c r="R68" s="1499"/>
      <c r="U68" s="450"/>
      <c r="AA68" s="1495"/>
      <c r="AB68" s="1495"/>
      <c r="AC68" s="1495"/>
      <c r="AD68" s="1495"/>
      <c r="AE68" s="1495"/>
    </row>
    <row r="69" spans="1:31" s="14419" customFormat="1" ht="11.25" customHeight="1">
      <c r="A69" s="876"/>
      <c r="C69" s="1499"/>
      <c r="D69" s="1501"/>
      <c r="E69" s="452" t="str">
        <f>FHD_NUM_P_33</f>
        <v>2.14</v>
      </c>
      <c r="F69" s="139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39" t="s">
        <v>690</v>
      </c>
      <c r="H69" s="485">
        <f>SUM(H70:H71)</f>
        <v>0</v>
      </c>
      <c r="I69" s="485">
        <f>SUM(I70:I71)</f>
        <v>0</v>
      </c>
      <c r="J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99" t="str">
        <f t="shared" si="0"/>
        <v>p</v>
      </c>
      <c r="L69" s="1499"/>
      <c r="M69" s="1499"/>
      <c r="R69" s="1499"/>
      <c r="U69" s="450"/>
      <c r="AA69" s="1495"/>
      <c r="AB69" s="1495"/>
      <c r="AC69" s="1495"/>
      <c r="AD69" s="1495"/>
      <c r="AE69" s="1495"/>
    </row>
    <row r="70" spans="1:31" s="14432" customFormat="1" ht="0.75" customHeight="1">
      <c r="A70" s="1048"/>
      <c r="D70" s="454"/>
      <c r="E70" s="901" t="str">
        <f>E69&amp;".0"</f>
        <v>2.14.0</v>
      </c>
      <c r="F70" s="880"/>
      <c r="G70" s="901"/>
      <c r="H70" s="881"/>
      <c r="I70" s="881"/>
      <c r="J70" s="882"/>
      <c r="K70" s="1499" t="str">
        <f t="shared" si="0"/>
        <v/>
      </c>
    </row>
    <row r="71" spans="1:31" s="14419" customFormat="1" ht="14.25" customHeight="1">
      <c r="A71" s="876"/>
      <c r="C71" s="1499"/>
      <c r="D71" s="1496"/>
      <c r="E71" s="476"/>
      <c r="F71" s="477" t="s">
        <v>715</v>
      </c>
      <c r="G71" s="478"/>
      <c r="H71" s="479"/>
      <c r="I71" s="479"/>
      <c r="J71" s="218"/>
      <c r="K71" s="1499"/>
      <c r="L71" s="1499"/>
      <c r="M71" s="1499"/>
      <c r="R71" s="1499"/>
      <c r="U71" s="450"/>
      <c r="AA71" s="1495"/>
      <c r="AB71" s="1495"/>
      <c r="AC71" s="1495"/>
      <c r="AD71" s="1495"/>
      <c r="AE71" s="1495"/>
    </row>
    <row r="72" spans="1:31" s="14419" customFormat="1" ht="18.75" hidden="1" customHeight="1">
      <c r="A72" s="878" t="s">
        <v>716</v>
      </c>
      <c r="C72" s="1499"/>
      <c r="D72" s="1501"/>
      <c r="E72" s="452" t="str">
        <f>FHD_NUM_P_34</f>
        <v/>
      </c>
      <c r="F72" s="1740" t="str">
        <f>FHD_P_34</f>
        <v/>
      </c>
      <c r="G72" s="1738" t="s">
        <v>690</v>
      </c>
      <c r="H72" s="463"/>
      <c r="I72" s="463"/>
      <c r="J72" s="206" t="str">
        <f>FHD_NOTE_P_34</f>
        <v/>
      </c>
      <c r="K72" s="449"/>
      <c r="L72" s="1499"/>
      <c r="M72" s="1499"/>
      <c r="R72" s="1499"/>
      <c r="U72" s="450"/>
      <c r="AA72" s="1495"/>
      <c r="AB72" s="1495"/>
      <c r="AC72" s="1495"/>
      <c r="AD72" s="1495"/>
      <c r="AE72" s="1495"/>
    </row>
    <row r="73" spans="1:31" s="14419" customFormat="1" ht="18.75" customHeight="1">
      <c r="A73" s="876"/>
      <c r="C73" s="1499"/>
      <c r="D73" s="481"/>
      <c r="E73" s="452" t="str">
        <f>FHD_NUM_P_35</f>
        <v>3</v>
      </c>
      <c r="F73" s="1740" t="str">
        <f>FHD_P_35</f>
        <v>Чистая прибыль, полученная от регулируемого вида деятельности в сфере горячего водоснабжения, в том числе:</v>
      </c>
      <c r="G73" s="1738" t="s">
        <v>690</v>
      </c>
      <c r="H73" s="463"/>
      <c r="I73" s="463"/>
      <c r="J73" s="206" t="str">
        <f>FHD_NOTE_P_35</f>
        <v>Указывается общая сумма чистой прибыли, полученной от регулируемого вида деятельности.</v>
      </c>
      <c r="K73" s="449"/>
      <c r="L73" s="1499"/>
      <c r="M73" s="1499"/>
      <c r="R73" s="1499"/>
      <c r="U73" s="450"/>
      <c r="AA73" s="1495"/>
      <c r="AB73" s="1495"/>
      <c r="AC73" s="1495"/>
      <c r="AD73" s="1495"/>
      <c r="AE73" s="1495"/>
    </row>
    <row r="74" spans="1:31" s="14419" customFormat="1" ht="18.75" customHeight="1">
      <c r="A74" s="876"/>
      <c r="C74" s="1499"/>
      <c r="D74" s="1501"/>
      <c r="E74" s="452" t="str">
        <f>FHD_NUM_P_36</f>
        <v>3.1</v>
      </c>
      <c r="F74" s="139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8" t="s">
        <v>690</v>
      </c>
      <c r="H74" s="463"/>
      <c r="I74" s="463"/>
      <c r="J74" s="206" t="str">
        <f>FHD_NOTE_P_36</f>
        <v/>
      </c>
      <c r="K74" s="449"/>
      <c r="L74" s="1499"/>
      <c r="M74" s="1499"/>
      <c r="R74" s="1499"/>
      <c r="U74" s="450"/>
      <c r="AA74" s="1495"/>
      <c r="AB74" s="1495"/>
      <c r="AC74" s="1495"/>
      <c r="AD74" s="1495"/>
      <c r="AE74" s="1495"/>
    </row>
    <row r="75" spans="1:31" s="14419" customFormat="1" ht="18.75" customHeight="1">
      <c r="A75" s="876"/>
      <c r="C75" s="1499"/>
      <c r="D75" s="1501"/>
      <c r="E75" s="452" t="str">
        <f>FHD_NUM_P_37</f>
        <v>4</v>
      </c>
      <c r="F75" s="1740" t="str">
        <f>FHD_P_37</f>
        <v>Изменение стоимости основных фондов, в том числе:</v>
      </c>
      <c r="G75" s="1738" t="s">
        <v>690</v>
      </c>
      <c r="H75" s="463"/>
      <c r="I75" s="463"/>
      <c r="J75" s="206" t="str">
        <f>FHD_NOTE_P_37</f>
        <v>Указывается общее изменение стоимости основных фондов.</v>
      </c>
      <c r="K75" s="449"/>
      <c r="L75" s="1499"/>
      <c r="M75" s="1499"/>
      <c r="R75" s="1499"/>
      <c r="U75" s="450"/>
      <c r="AA75" s="1495"/>
      <c r="AB75" s="1495"/>
      <c r="AC75" s="1495"/>
      <c r="AD75" s="1495"/>
      <c r="AE75" s="1495"/>
    </row>
    <row r="76" spans="1:31" s="14419" customFormat="1" ht="18.75" customHeight="1">
      <c r="A76" s="876"/>
      <c r="C76" s="1499"/>
      <c r="D76" s="1501"/>
      <c r="E76" s="452" t="str">
        <f>FHD_NUM_P_38</f>
        <v>4.1</v>
      </c>
      <c r="F76" s="1395" t="str">
        <f>FHD_P_38</f>
        <v>Изменение стоимости основных фондов за счет их ввода в эксплуатацию (вывода из эксплуатации)</v>
      </c>
      <c r="G76" s="1738" t="s">
        <v>690</v>
      </c>
      <c r="H76" s="463"/>
      <c r="I76" s="463"/>
      <c r="J76" s="206" t="str">
        <f>FHD_NOTE_P_38</f>
        <v>Указываются общее изменение стоимости основных фондов за счет их ввода в эксплуатацию и вывода из эксплуатации.</v>
      </c>
      <c r="K76" s="449"/>
      <c r="L76" s="1499"/>
      <c r="M76" s="1499"/>
      <c r="R76" s="1499"/>
      <c r="U76" s="450"/>
      <c r="AA76" s="1495"/>
      <c r="AB76" s="1495"/>
      <c r="AC76" s="1495"/>
      <c r="AD76" s="1495"/>
      <c r="AE76" s="1495"/>
    </row>
    <row r="77" spans="1:31" s="14419" customFormat="1" ht="18.75" customHeight="1">
      <c r="A77" s="876"/>
      <c r="C77" s="1499"/>
      <c r="D77" s="1501"/>
      <c r="E77" s="452" t="str">
        <f>FHD_NUM_P_39</f>
        <v>4.1.1</v>
      </c>
      <c r="F77" s="1513" t="str">
        <f>FHD_P_39</f>
        <v>Изменение стоимости основных фондов за счет их ввода в эксплуатацию</v>
      </c>
      <c r="G77" s="1738" t="s">
        <v>690</v>
      </c>
      <c r="H77" s="463"/>
      <c r="I77" s="463"/>
      <c r="J77" s="206" t="str">
        <f>FHD_NOTE_P_39</f>
        <v>Указываются изменение стоимости основных фондов за счет их ввода в эксплуатацию.</v>
      </c>
      <c r="K77" s="449"/>
      <c r="L77" s="1499"/>
      <c r="M77" s="1499"/>
      <c r="R77" s="1499"/>
      <c r="U77" s="450"/>
      <c r="AA77" s="1495"/>
      <c r="AB77" s="1495"/>
      <c r="AC77" s="1495"/>
      <c r="AD77" s="1495"/>
      <c r="AE77" s="1495"/>
    </row>
    <row r="78" spans="1:31" s="14419" customFormat="1" ht="18.75" customHeight="1">
      <c r="A78" s="876"/>
      <c r="C78" s="1499"/>
      <c r="D78" s="1501"/>
      <c r="E78" s="452" t="str">
        <f>FHD_NUM_P_40</f>
        <v>4.1.2</v>
      </c>
      <c r="F78" s="1513" t="str">
        <f>FHD_P_40</f>
        <v>Изменение стоимости основных фондов за счет их вывода в эксплуатацию</v>
      </c>
      <c r="G78" s="1738" t="s">
        <v>690</v>
      </c>
      <c r="H78" s="463"/>
      <c r="I78" s="463"/>
      <c r="J78" s="206" t="str">
        <f>FHD_NOTE_P_40</f>
        <v>Указываются изменение стоимости основных фондов за счет их вывода из эксплуатации.</v>
      </c>
      <c r="K78" s="449"/>
      <c r="L78" s="1499"/>
      <c r="M78" s="1499"/>
      <c r="R78" s="1499"/>
      <c r="U78" s="450"/>
      <c r="AA78" s="1495"/>
      <c r="AB78" s="1495"/>
      <c r="AC78" s="1495"/>
      <c r="AD78" s="1495"/>
      <c r="AE78" s="1495"/>
    </row>
    <row r="79" spans="1:31" s="14419" customFormat="1" ht="18.75" customHeight="1">
      <c r="A79" s="876"/>
      <c r="C79" s="1499"/>
      <c r="D79" s="1501"/>
      <c r="E79" s="452" t="str">
        <f>FHD_NUM_P_41</f>
        <v>4.2</v>
      </c>
      <c r="F79" s="1395" t="str">
        <f>FHD_P_41</f>
        <v>Изменение стоимости основных фондов за счет их переоценки</v>
      </c>
      <c r="G79" s="1739" t="s">
        <v>690</v>
      </c>
      <c r="H79" s="463"/>
      <c r="I79" s="463"/>
      <c r="J79" s="206" t="str">
        <f>FHD_NOTE_P_41</f>
        <v/>
      </c>
      <c r="K79" s="449"/>
      <c r="L79" s="1499"/>
      <c r="M79" s="1499"/>
      <c r="R79" s="1499"/>
      <c r="U79" s="450"/>
      <c r="AA79" s="1495"/>
      <c r="AB79" s="1495"/>
      <c r="AC79" s="1495"/>
      <c r="AD79" s="1495"/>
      <c r="AE79" s="1495"/>
    </row>
    <row r="80" spans="1:31" s="14419" customFormat="1" ht="18.75" customHeight="1">
      <c r="A80" s="878" t="s">
        <v>717</v>
      </c>
      <c r="C80" s="1499"/>
      <c r="D80" s="1501"/>
      <c r="E80" s="452" t="str">
        <f>FHD_NUM_P_42</f>
        <v>5</v>
      </c>
      <c r="F80" s="1740" t="str">
        <f>FHD_P_42</f>
        <v>Валовая прибыль (убытки) от продажи товаров и услуг по регулируемым видам деятельности в сфере горячего водоснабжения</v>
      </c>
      <c r="G80" s="1738" t="s">
        <v>690</v>
      </c>
      <c r="H80" s="866"/>
      <c r="I80" s="463"/>
      <c r="J80" s="206" t="str">
        <f>FHD_NOTE_P_42</f>
        <v/>
      </c>
      <c r="K80" s="449"/>
      <c r="L80" s="1499"/>
      <c r="M80" s="1499"/>
      <c r="R80" s="1499"/>
      <c r="U80" s="450"/>
      <c r="AA80" s="1495"/>
      <c r="AB80" s="1495"/>
      <c r="AC80" s="1495"/>
      <c r="AD80" s="1495"/>
      <c r="AE80" s="1495"/>
    </row>
    <row r="81" spans="1:31" s="14419" customFormat="1" ht="18.75" customHeight="1">
      <c r="A81" s="876"/>
      <c r="C81" s="1499"/>
      <c r="D81" s="1501"/>
      <c r="E81" s="452" t="str">
        <f>FHD_NUM_P_43</f>
        <v>6</v>
      </c>
      <c r="F81" s="1740" t="str">
        <f>FHD_P_43</f>
        <v>Годовая бухгалтерская (финансовая) отчетность, включая бухгалтерский баланс и приложения к нему</v>
      </c>
      <c r="G81" s="1738" t="s">
        <v>443</v>
      </c>
      <c r="H81" s="943"/>
      <c r="I81" s="716"/>
      <c r="J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49"/>
      <c r="L81" s="1499"/>
      <c r="M81" s="1499"/>
      <c r="R81" s="1499"/>
      <c r="U81" s="450"/>
      <c r="AA81" s="1495"/>
      <c r="AB81" s="1495"/>
      <c r="AC81" s="1495"/>
      <c r="AD81" s="1495"/>
      <c r="AE81" s="1495"/>
    </row>
    <row r="82" spans="1:31" s="15858" customFormat="1" ht="18.75" hidden="1" customHeight="1">
      <c r="A82" s="16207" t="s">
        <v>718</v>
      </c>
      <c r="C82" s="635"/>
      <c r="D82" s="633"/>
      <c r="E82" s="452" t="str">
        <f>FHD_NUM_P_44</f>
        <v/>
      </c>
      <c r="F82" s="1740" t="str">
        <f>FHD_P_44</f>
        <v/>
      </c>
      <c r="G82" s="1741" t="s">
        <v>719</v>
      </c>
      <c r="H82" s="867"/>
      <c r="I82" s="483"/>
      <c r="J82" s="206" t="str">
        <f>FHD_NOTE_P_44</f>
        <v/>
      </c>
      <c r="K82" s="634"/>
      <c r="L82" s="635"/>
      <c r="M82" s="635"/>
      <c r="R82" s="635"/>
      <c r="U82" s="636"/>
      <c r="AA82" s="637"/>
      <c r="AB82" s="637"/>
      <c r="AC82" s="637"/>
      <c r="AD82" s="637"/>
      <c r="AE82" s="637"/>
    </row>
    <row r="83" spans="1:31" s="15858" customFormat="1" ht="18.75" hidden="1" customHeight="1">
      <c r="A83" s="16207"/>
      <c r="C83" s="635"/>
      <c r="D83" s="633"/>
      <c r="E83" s="452" t="str">
        <f>FHD_NUM_P_45</f>
        <v/>
      </c>
      <c r="F83" s="1740" t="str">
        <f>FHD_P_45</f>
        <v/>
      </c>
      <c r="G83" s="1741" t="s">
        <v>719</v>
      </c>
      <c r="H83" s="867"/>
      <c r="I83" s="483"/>
      <c r="J83" s="206" t="str">
        <f>FHD_NOTE_P_45</f>
        <v/>
      </c>
      <c r="K83" s="634"/>
      <c r="L83" s="635"/>
      <c r="M83" s="635"/>
      <c r="R83" s="635"/>
      <c r="U83" s="636"/>
      <c r="AA83" s="637"/>
      <c r="AB83" s="637"/>
      <c r="AC83" s="637"/>
      <c r="AD83" s="637"/>
      <c r="AE83" s="637"/>
    </row>
    <row r="84" spans="1:31" s="15858" customFormat="1" ht="18.75" hidden="1" customHeight="1">
      <c r="A84" s="16207"/>
      <c r="C84" s="635"/>
      <c r="D84" s="638"/>
      <c r="E84" s="452" t="str">
        <f>FHD_NUM_P_46</f>
        <v/>
      </c>
      <c r="F84" s="1740" t="str">
        <f>FHD_P_46</f>
        <v/>
      </c>
      <c r="G84" s="1741" t="s">
        <v>719</v>
      </c>
      <c r="H84" s="867"/>
      <c r="I84" s="483"/>
      <c r="J84" s="206" t="str">
        <f>FHD_NOTE_P_46</f>
        <v/>
      </c>
      <c r="K84" s="634"/>
      <c r="L84" s="635"/>
      <c r="M84" s="635"/>
      <c r="R84" s="635"/>
      <c r="U84" s="636"/>
      <c r="AA84" s="637"/>
      <c r="AB84" s="637"/>
      <c r="AC84" s="637"/>
      <c r="AD84" s="637"/>
      <c r="AE84" s="637"/>
    </row>
    <row r="85" spans="1:31" s="15858" customFormat="1" ht="18.75" hidden="1" customHeight="1">
      <c r="A85" s="16207"/>
      <c r="C85" s="635"/>
      <c r="D85" s="633"/>
      <c r="E85" s="452" t="str">
        <f>FHD_NUM_P_47</f>
        <v/>
      </c>
      <c r="F85" s="1740" t="str">
        <f>FHD_P_47</f>
        <v/>
      </c>
      <c r="G85" s="1741" t="s">
        <v>719</v>
      </c>
      <c r="H85" s="867"/>
      <c r="I85" s="483"/>
      <c r="J85" s="206" t="str">
        <f>FHD_NOTE_P_47</f>
        <v/>
      </c>
      <c r="K85" s="634"/>
      <c r="L85" s="635"/>
      <c r="M85" s="635"/>
      <c r="R85" s="635"/>
      <c r="U85" s="636"/>
      <c r="AA85" s="637"/>
      <c r="AB85" s="637"/>
      <c r="AC85" s="637"/>
      <c r="AD85" s="637"/>
      <c r="AE85" s="637"/>
    </row>
    <row r="86" spans="1:31" s="15859" customFormat="1" ht="18.75" hidden="1" customHeight="1">
      <c r="A86" s="16207"/>
      <c r="B86" s="804"/>
      <c r="C86" s="635"/>
      <c r="D86" s="633"/>
      <c r="E86" s="452" t="str">
        <f>FHD_NUM_P_48</f>
        <v/>
      </c>
      <c r="F86" s="1740" t="str">
        <f>FHD_P_48</f>
        <v/>
      </c>
      <c r="G86" s="1741" t="s">
        <v>719</v>
      </c>
      <c r="H86" s="867"/>
      <c r="I86" s="483"/>
      <c r="J86" s="206"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15859" customFormat="1" ht="18.75" hidden="1" customHeight="1">
      <c r="A87" s="16207"/>
      <c r="B87" s="804"/>
      <c r="C87" s="635"/>
      <c r="D87" s="633"/>
      <c r="E87" s="452" t="str">
        <f>FHD_NUM_P_49</f>
        <v/>
      </c>
      <c r="F87" s="1740" t="str">
        <f>FHD_P_49</f>
        <v/>
      </c>
      <c r="G87" s="1741" t="s">
        <v>719</v>
      </c>
      <c r="H87" s="868">
        <f>SUM(H88:H89)</f>
        <v>0</v>
      </c>
      <c r="I87" s="648">
        <f>SUM(I88:I89)</f>
        <v>0</v>
      </c>
      <c r="J87" s="206"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15859" customFormat="1" ht="18.75" hidden="1" customHeight="1">
      <c r="A88" s="16207"/>
      <c r="B88" s="804"/>
      <c r="C88" s="635"/>
      <c r="D88" s="633"/>
      <c r="E88" s="452" t="str">
        <f>FHD_NUM_P_50</f>
        <v/>
      </c>
      <c r="F88" s="1740" t="str">
        <f>FHD_P_50</f>
        <v/>
      </c>
      <c r="G88" s="1741" t="s">
        <v>719</v>
      </c>
      <c r="H88" s="867"/>
      <c r="I88" s="483"/>
      <c r="J88" s="206"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15859" customFormat="1" ht="18.75" hidden="1" customHeight="1">
      <c r="A89" s="16207"/>
      <c r="B89" s="804"/>
      <c r="C89" s="635"/>
      <c r="D89" s="633"/>
      <c r="E89" s="452" t="str">
        <f>FHD_NUM_P_51</f>
        <v/>
      </c>
      <c r="F89" s="1740" t="str">
        <f>FHD_P_51</f>
        <v/>
      </c>
      <c r="G89" s="1741" t="s">
        <v>719</v>
      </c>
      <c r="H89" s="867"/>
      <c r="I89" s="483"/>
      <c r="J89" s="206"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15859" customFormat="1" ht="18.75" hidden="1" customHeight="1">
      <c r="A90" s="16207"/>
      <c r="B90" s="804"/>
      <c r="C90" s="635"/>
      <c r="D90" s="633"/>
      <c r="E90" s="452" t="str">
        <f>FHD_NUM_P_52</f>
        <v/>
      </c>
      <c r="F90" s="1740" t="str">
        <f>FHD_P_52</f>
        <v/>
      </c>
      <c r="G90" s="1741" t="s">
        <v>696</v>
      </c>
      <c r="H90" s="866"/>
      <c r="I90" s="463"/>
      <c r="J90" s="206"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15858" customFormat="1" ht="18.75" customHeight="1">
      <c r="A91" s="16207" t="s">
        <v>720</v>
      </c>
      <c r="C91" s="635"/>
      <c r="D91" s="633"/>
      <c r="E91" s="452" t="str">
        <f>FHD_NUM_P_53</f>
        <v>7</v>
      </c>
      <c r="F91" s="1740" t="str">
        <f>FHD_P_53</f>
        <v>Объём приобретаемой холодной воды, используемой для горячего водоснабжения</v>
      </c>
      <c r="G91" s="1741" t="s">
        <v>719</v>
      </c>
      <c r="H91" s="867"/>
      <c r="I91" s="483"/>
      <c r="J91" s="206" t="str">
        <f>FHD_NOTE_P_53</f>
        <v/>
      </c>
      <c r="K91" s="634"/>
      <c r="L91" s="635"/>
      <c r="M91" s="635"/>
      <c r="R91" s="635"/>
      <c r="U91" s="636"/>
      <c r="AA91" s="637"/>
      <c r="AB91" s="637"/>
      <c r="AC91" s="637"/>
      <c r="AD91" s="637"/>
      <c r="AE91" s="637"/>
    </row>
    <row r="92" spans="1:31" s="15858" customFormat="1" ht="18.75" customHeight="1">
      <c r="A92" s="16207"/>
      <c r="C92" s="635"/>
      <c r="D92" s="633"/>
      <c r="E92" s="452" t="str">
        <f>FHD_NUM_P_54</f>
        <v>8</v>
      </c>
      <c r="F92" s="1740" t="str">
        <f>FHD_P_54</f>
        <v>Объём холодной воды, получаемой с применением собственных источников водозабора (скважин) и используемой для горячего водоснабжения</v>
      </c>
      <c r="G92" s="1741" t="s">
        <v>719</v>
      </c>
      <c r="H92" s="867"/>
      <c r="I92" s="483"/>
      <c r="J92" s="206" t="str">
        <f>FHD_NOTE_P_54</f>
        <v/>
      </c>
      <c r="K92" s="634"/>
      <c r="L92" s="635"/>
      <c r="M92" s="635"/>
      <c r="R92" s="635"/>
      <c r="U92" s="636"/>
      <c r="AA92" s="637"/>
      <c r="AB92" s="637"/>
      <c r="AC92" s="637"/>
      <c r="AD92" s="637"/>
      <c r="AE92" s="637"/>
    </row>
    <row r="93" spans="1:31" s="15858" customFormat="1" ht="18.75" customHeight="1">
      <c r="A93" s="16207"/>
      <c r="C93" s="635"/>
      <c r="D93" s="638"/>
      <c r="E93" s="452" t="str">
        <f>FHD_NUM_P_55</f>
        <v>9</v>
      </c>
      <c r="F93" s="1740" t="str">
        <f>FHD_P_55</f>
        <v>Объём приобретаемой тепловой энергии (мощности), используемой для горячего водоснабжения</v>
      </c>
      <c r="G93" s="1744"/>
      <c r="H93" s="867"/>
      <c r="I93" s="483"/>
      <c r="J93" s="206" t="str">
        <f>FHD_NOTE_P_55</f>
        <v/>
      </c>
      <c r="K93" s="634"/>
      <c r="L93" s="635"/>
      <c r="M93" s="635"/>
      <c r="R93" s="635"/>
      <c r="U93" s="636"/>
      <c r="AA93" s="637"/>
      <c r="AB93" s="637"/>
      <c r="AC93" s="637"/>
      <c r="AD93" s="637"/>
      <c r="AE93" s="637"/>
    </row>
    <row r="94" spans="1:31" s="15858" customFormat="1" ht="18.75" customHeight="1">
      <c r="A94" s="16207"/>
      <c r="C94" s="635"/>
      <c r="D94" s="633"/>
      <c r="E94" s="452" t="str">
        <f>FHD_NUM_P_56</f>
        <v>10</v>
      </c>
      <c r="F94" s="1740" t="str">
        <f>FHD_P_56</f>
        <v>Объём тепловой энергии, производимой с применением собственных источников и используемой для горячего водоснабжения</v>
      </c>
      <c r="G94" s="1741" t="s">
        <v>721</v>
      </c>
      <c r="H94" s="867"/>
      <c r="I94" s="483"/>
      <c r="J94" s="206" t="str">
        <f>FHD_NOTE_P_56</f>
        <v/>
      </c>
      <c r="K94" s="634"/>
      <c r="L94" s="635"/>
      <c r="M94" s="635"/>
      <c r="R94" s="635"/>
      <c r="U94" s="636"/>
      <c r="AA94" s="637"/>
      <c r="AB94" s="637"/>
      <c r="AC94" s="637"/>
      <c r="AD94" s="637"/>
      <c r="AE94" s="637"/>
    </row>
    <row r="95" spans="1:31" s="15859" customFormat="1" ht="18.75" customHeight="1">
      <c r="A95" s="16207"/>
      <c r="B95" s="804"/>
      <c r="C95" s="635"/>
      <c r="D95" s="633"/>
      <c r="E95" s="452" t="str">
        <f>FHD_NUM_P_57</f>
        <v>11</v>
      </c>
      <c r="F95" s="1740" t="str">
        <f>FHD_P_57</f>
        <v>Потери горячей воды в сетях (процентов)</v>
      </c>
      <c r="G95" s="1741" t="s">
        <v>696</v>
      </c>
      <c r="H95" s="866"/>
      <c r="I95" s="463"/>
      <c r="J95" s="206"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hidden="1" customHeight="1">
      <c r="A96" s="16207" t="s">
        <v>722</v>
      </c>
      <c r="D96" s="1501"/>
      <c r="E96" s="452" t="str">
        <f>FHD_NUM_P_58</f>
        <v/>
      </c>
      <c r="F96" s="1740" t="str">
        <f>FHD_P_58</f>
        <v/>
      </c>
      <c r="G96" s="1741" t="s">
        <v>719</v>
      </c>
      <c r="H96" s="867"/>
      <c r="I96" s="483"/>
      <c r="J96" s="206" t="str">
        <f>FHD_NOTE_P_58</f>
        <v/>
      </c>
      <c r="K96" s="449"/>
    </row>
    <row r="97" spans="1:31" ht="18.75" hidden="1" customHeight="1">
      <c r="A97" s="16207"/>
      <c r="D97" s="1501"/>
      <c r="E97" s="452" t="str">
        <f>FHD_NUM_P_59</f>
        <v/>
      </c>
      <c r="F97" s="1740" t="str">
        <f>FHD_P_59</f>
        <v/>
      </c>
      <c r="G97" s="1741" t="s">
        <v>719</v>
      </c>
      <c r="H97" s="867"/>
      <c r="I97" s="483"/>
      <c r="J97" s="206" t="str">
        <f>FHD_NOTE_P_59</f>
        <v/>
      </c>
      <c r="K97" s="449"/>
    </row>
    <row r="98" spans="1:31" ht="18.75" hidden="1" customHeight="1">
      <c r="A98" s="16207"/>
      <c r="D98" s="1501"/>
      <c r="E98" s="452" t="str">
        <f>FHD_NUM_P_60</f>
        <v/>
      </c>
      <c r="F98" s="1740" t="str">
        <f>FHD_P_60</f>
        <v/>
      </c>
      <c r="G98" s="1741" t="s">
        <v>719</v>
      </c>
      <c r="H98" s="867"/>
      <c r="I98" s="483"/>
      <c r="J98" s="206" t="str">
        <f>FHD_NOTE_P_60</f>
        <v/>
      </c>
      <c r="K98" s="449"/>
    </row>
    <row r="99" spans="1:31" s="14419" customFormat="1" ht="18.75" hidden="1" customHeight="1">
      <c r="A99" s="16207" t="s">
        <v>723</v>
      </c>
      <c r="C99" s="1499"/>
      <c r="D99" s="1501"/>
      <c r="E99" s="452" t="str">
        <f>FHD_NUM_P_61</f>
        <v/>
      </c>
      <c r="F99" s="1740" t="str">
        <f>FHD_P_61</f>
        <v/>
      </c>
      <c r="G99" s="1738" t="s">
        <v>694</v>
      </c>
      <c r="H99" s="869"/>
      <c r="I99" s="641"/>
      <c r="J99" s="206" t="str">
        <f>FHD_NOTE_P_61</f>
        <v/>
      </c>
      <c r="K99" s="449"/>
      <c r="L99" s="1499"/>
      <c r="M99" s="1499"/>
      <c r="R99" s="1499"/>
      <c r="U99" s="450"/>
      <c r="AA99" s="1495"/>
      <c r="AB99" s="1495"/>
      <c r="AC99" s="1495"/>
      <c r="AD99" s="1495"/>
      <c r="AE99" s="1495"/>
    </row>
    <row r="100" spans="1:31" s="14432" customFormat="1" ht="0.75" hidden="1" customHeight="1">
      <c r="A100" s="16207"/>
      <c r="D100" s="454"/>
      <c r="E100" s="901" t="str">
        <f>E99&amp;".0"</f>
        <v>.0</v>
      </c>
      <c r="F100" s="883"/>
      <c r="G100" s="884"/>
      <c r="H100" s="881"/>
      <c r="I100" s="881"/>
      <c r="J100" s="885"/>
    </row>
    <row r="101" spans="1:31" ht="15" hidden="1" customHeight="1">
      <c r="A101" s="16207"/>
      <c r="D101" s="1496"/>
      <c r="E101" s="861"/>
      <c r="F101" s="862" t="s">
        <v>724</v>
      </c>
      <c r="G101" s="478"/>
      <c r="H101" s="479"/>
      <c r="I101" s="479"/>
      <c r="J101" s="892" t="s">
        <v>725</v>
      </c>
      <c r="K101" s="449"/>
    </row>
    <row r="102" spans="1:31" s="14419" customFormat="1" ht="18.75" hidden="1" customHeight="1">
      <c r="A102" s="16207"/>
      <c r="C102" s="1499"/>
      <c r="D102" s="1501"/>
      <c r="E102" s="452" t="str">
        <f>FHD_NUM_P_62</f>
        <v/>
      </c>
      <c r="F102" s="1740" t="str">
        <f>FHD_P_62</f>
        <v/>
      </c>
      <c r="G102" s="1737" t="s">
        <v>694</v>
      </c>
      <c r="H102" s="463"/>
      <c r="I102" s="463"/>
      <c r="J102" s="206" t="str">
        <f>FHD_NOTE_P_62</f>
        <v/>
      </c>
      <c r="K102" s="449"/>
      <c r="L102" s="1499"/>
      <c r="M102" s="1499"/>
      <c r="R102" s="1499"/>
      <c r="U102" s="450"/>
      <c r="AA102" s="1495"/>
      <c r="AB102" s="1495"/>
      <c r="AC102" s="1495"/>
      <c r="AD102" s="1495"/>
      <c r="AE102" s="1495"/>
    </row>
    <row r="103" spans="1:31" s="14419" customFormat="1" ht="18.75" hidden="1" customHeight="1">
      <c r="A103" s="16207"/>
      <c r="C103" s="1499"/>
      <c r="D103" s="1501"/>
      <c r="E103" s="452" t="str">
        <f>FHD_NUM_P_63</f>
        <v/>
      </c>
      <c r="F103" s="1740" t="str">
        <f>FHD_P_63</f>
        <v/>
      </c>
      <c r="G103" s="1737" t="s">
        <v>721</v>
      </c>
      <c r="H103" s="483"/>
      <c r="I103" s="483"/>
      <c r="J103" s="206" t="str">
        <f>FHD_NOTE_P_63</f>
        <v/>
      </c>
      <c r="K103" s="449"/>
      <c r="L103" s="1499"/>
      <c r="M103" s="1499"/>
      <c r="R103" s="1499"/>
      <c r="U103" s="450"/>
      <c r="AA103" s="1495"/>
      <c r="AB103" s="1495"/>
      <c r="AC103" s="1495"/>
      <c r="AD103" s="1495"/>
      <c r="AE103" s="1495"/>
    </row>
    <row r="104" spans="1:31" s="14419" customFormat="1" ht="18.75" hidden="1" customHeight="1">
      <c r="A104" s="16207"/>
      <c r="C104" s="1499" t="s">
        <v>726</v>
      </c>
      <c r="D104" s="1501"/>
      <c r="E104" s="452" t="str">
        <f>FHD_NUM_P_64</f>
        <v/>
      </c>
      <c r="F104" s="1740" t="str">
        <f>FHD_P_64</f>
        <v/>
      </c>
      <c r="G104" s="1737" t="s">
        <v>721</v>
      </c>
      <c r="H104" s="451"/>
      <c r="I104" s="451"/>
      <c r="J104" s="206" t="str">
        <f>FHD_NOTE_P_64</f>
        <v/>
      </c>
      <c r="K104" s="449"/>
      <c r="L104" s="1499"/>
      <c r="M104" s="1499"/>
      <c r="R104" s="1499"/>
      <c r="U104" s="450"/>
      <c r="AA104" s="1495"/>
      <c r="AB104" s="1495"/>
      <c r="AC104" s="1495"/>
      <c r="AD104" s="1495"/>
      <c r="AE104" s="1495"/>
    </row>
    <row r="105" spans="1:31" s="14419" customFormat="1" ht="18.75" hidden="1" customHeight="1">
      <c r="A105" s="16207"/>
      <c r="C105" s="1499"/>
      <c r="D105" s="1501"/>
      <c r="E105" s="452" t="str">
        <f>FHD_NUM_P_65</f>
        <v/>
      </c>
      <c r="F105" s="1740" t="str">
        <f>FHD_P_65</f>
        <v/>
      </c>
      <c r="G105" s="1737" t="s">
        <v>721</v>
      </c>
      <c r="H105" s="483"/>
      <c r="I105" s="483"/>
      <c r="J105" s="206" t="str">
        <f>FHD_NOTE_P_65</f>
        <v/>
      </c>
      <c r="K105" s="449"/>
      <c r="L105" s="1499"/>
      <c r="M105" s="1499"/>
      <c r="R105" s="1499"/>
      <c r="U105" s="450"/>
      <c r="AA105" s="1495"/>
      <c r="AB105" s="1495"/>
      <c r="AC105" s="1495"/>
      <c r="AD105" s="1495"/>
      <c r="AE105" s="1495"/>
    </row>
    <row r="106" spans="1:31" s="14419" customFormat="1" ht="18.75" hidden="1" customHeight="1">
      <c r="A106" s="16207"/>
      <c r="C106" s="1499"/>
      <c r="D106" s="1501"/>
      <c r="E106" s="452" t="str">
        <f>FHD_NUM_P_66</f>
        <v/>
      </c>
      <c r="F106" s="1395" t="str">
        <f>FHD_P_66</f>
        <v/>
      </c>
      <c r="G106" s="1737" t="s">
        <v>721</v>
      </c>
      <c r="H106" s="483"/>
      <c r="I106" s="483"/>
      <c r="J106" s="206" t="str">
        <f>FHD_NOTE_P_66</f>
        <v/>
      </c>
      <c r="K106" s="449"/>
      <c r="L106" s="1499"/>
      <c r="M106" s="1499"/>
      <c r="R106" s="1499"/>
      <c r="U106" s="450"/>
      <c r="AA106" s="1495"/>
      <c r="AB106" s="1495"/>
      <c r="AC106" s="1495"/>
      <c r="AD106" s="1495"/>
      <c r="AE106" s="1495"/>
    </row>
    <row r="107" spans="1:31" s="14419" customFormat="1" ht="18.75" hidden="1" customHeight="1">
      <c r="A107" s="16207"/>
      <c r="C107" s="1499"/>
      <c r="D107" s="1501"/>
      <c r="E107" s="452" t="str">
        <f>FHD_NUM_P_67</f>
        <v/>
      </c>
      <c r="F107" s="1513" t="str">
        <f>FHD_P_67</f>
        <v/>
      </c>
      <c r="G107" s="1737" t="s">
        <v>721</v>
      </c>
      <c r="H107" s="483"/>
      <c r="I107" s="483"/>
      <c r="J107" s="206" t="str">
        <f>FHD_NOTE_P_67</f>
        <v/>
      </c>
      <c r="K107" s="449"/>
      <c r="L107" s="1499"/>
      <c r="M107" s="1499"/>
      <c r="R107" s="1499"/>
      <c r="U107" s="450"/>
      <c r="AA107" s="1495"/>
      <c r="AB107" s="1495"/>
      <c r="AC107" s="1495"/>
      <c r="AD107" s="1495"/>
      <c r="AE107" s="1495"/>
    </row>
    <row r="108" spans="1:31" s="14419" customFormat="1" ht="18.75" hidden="1" customHeight="1">
      <c r="A108" s="16207"/>
      <c r="C108" s="1499"/>
      <c r="D108" s="1501"/>
      <c r="E108" s="452" t="str">
        <f>FHD_NUM_P_68</f>
        <v/>
      </c>
      <c r="F108" s="1395" t="str">
        <f>FHD_P_68</f>
        <v/>
      </c>
      <c r="G108" s="1737" t="s">
        <v>721</v>
      </c>
      <c r="H108" s="483"/>
      <c r="I108" s="483"/>
      <c r="J108" s="206" t="str">
        <f>FHD_NOTE_P_68</f>
        <v/>
      </c>
      <c r="K108" s="449"/>
      <c r="L108" s="1499"/>
      <c r="M108" s="1499"/>
      <c r="R108" s="1499"/>
      <c r="U108" s="450"/>
      <c r="AA108" s="1495"/>
      <c r="AB108" s="1495"/>
      <c r="AC108" s="1495"/>
      <c r="AD108" s="1495"/>
      <c r="AE108" s="1495"/>
    </row>
    <row r="109" spans="1:31" s="14419" customFormat="1" ht="18.75" hidden="1" customHeight="1">
      <c r="A109" s="16207"/>
      <c r="C109" s="1499"/>
      <c r="D109" s="1501"/>
      <c r="E109" s="452" t="str">
        <f>FHD_NUM_P_69</f>
        <v/>
      </c>
      <c r="F109" s="1395" t="str">
        <f>FHD_P_69</f>
        <v/>
      </c>
      <c r="G109" s="1737" t="s">
        <v>721</v>
      </c>
      <c r="H109" s="483"/>
      <c r="I109" s="483"/>
      <c r="J109" s="206" t="str">
        <f>FHD_NOTE_P_69</f>
        <v/>
      </c>
      <c r="K109" s="449"/>
      <c r="L109" s="1499"/>
      <c r="M109" s="1499"/>
      <c r="R109" s="1499"/>
      <c r="U109" s="450"/>
      <c r="AA109" s="1495"/>
      <c r="AB109" s="1495"/>
      <c r="AC109" s="1495"/>
      <c r="AD109" s="1495"/>
      <c r="AE109" s="1495"/>
    </row>
    <row r="110" spans="1:31" s="14419" customFormat="1" ht="22.5" hidden="1" customHeight="1">
      <c r="A110" s="16207"/>
      <c r="C110" s="1499"/>
      <c r="D110" s="1501"/>
      <c r="E110" s="452" t="str">
        <f>FHD_NUM_P_70</f>
        <v/>
      </c>
      <c r="F110" s="1740" t="str">
        <f>FHD_P_70</f>
        <v/>
      </c>
      <c r="G110" s="1737" t="s">
        <v>727</v>
      </c>
      <c r="H110" s="463"/>
      <c r="I110" s="463"/>
      <c r="J110" s="206" t="str">
        <f>FHD_NOTE_P_70</f>
        <v/>
      </c>
      <c r="K110" s="449"/>
      <c r="L110" s="1499"/>
      <c r="M110" s="1499"/>
      <c r="R110" s="1499"/>
      <c r="U110" s="450"/>
      <c r="AA110" s="1495"/>
      <c r="AB110" s="1495"/>
      <c r="AC110" s="1495"/>
      <c r="AD110" s="1495"/>
      <c r="AE110" s="1495"/>
    </row>
    <row r="111" spans="1:31" s="14419" customFormat="1" ht="22.5" hidden="1" customHeight="1">
      <c r="A111" s="16207"/>
      <c r="C111" s="1499"/>
      <c r="D111" s="1501"/>
      <c r="E111" s="452" t="str">
        <f>FHD_NUM_P_71</f>
        <v/>
      </c>
      <c r="F111" s="1740" t="str">
        <f>FHD_P_71</f>
        <v/>
      </c>
      <c r="G111" s="1737" t="s">
        <v>727</v>
      </c>
      <c r="H111" s="463"/>
      <c r="I111" s="463"/>
      <c r="J111" s="206" t="str">
        <f>FHD_NOTE_P_71</f>
        <v/>
      </c>
      <c r="K111" s="449"/>
      <c r="L111" s="1499"/>
      <c r="M111" s="1499"/>
      <c r="R111" s="1499"/>
      <c r="U111" s="450"/>
      <c r="AA111" s="1495"/>
      <c r="AB111" s="1495"/>
      <c r="AC111" s="1495"/>
      <c r="AD111" s="1495"/>
      <c r="AE111" s="1495"/>
    </row>
    <row r="112" spans="1:31" ht="18.75" customHeight="1">
      <c r="D112" s="1501"/>
      <c r="E112" s="452" t="str">
        <f>FHD_NUM_P_72</f>
        <v>12</v>
      </c>
      <c r="F112" s="1740" t="str">
        <f>FHD_P_72</f>
        <v>Среднесписочная численность основного производственного персонала</v>
      </c>
      <c r="G112" s="1736" t="s">
        <v>728</v>
      </c>
      <c r="H112" s="483"/>
      <c r="I112" s="483"/>
      <c r="J112" s="206" t="str">
        <f>FHD_NOTE_P_72</f>
        <v/>
      </c>
      <c r="K112" s="449"/>
    </row>
    <row r="113" spans="1:31" ht="18.75" hidden="1" customHeight="1">
      <c r="A113" s="878" t="s">
        <v>729</v>
      </c>
      <c r="D113" s="1501"/>
      <c r="E113" s="452" t="str">
        <f>FHD_NUM_P_73</f>
        <v/>
      </c>
      <c r="F113" s="1740" t="str">
        <f>FHD_P_73</f>
        <v/>
      </c>
      <c r="G113" s="860" t="s">
        <v>728</v>
      </c>
      <c r="H113" s="858"/>
      <c r="I113" s="858"/>
      <c r="J113" s="206" t="str">
        <f>FHD_NOTE_P_73</f>
        <v/>
      </c>
      <c r="K113" s="449"/>
    </row>
    <row r="114" spans="1:31" ht="33.75" customHeight="1">
      <c r="A114" s="878" t="s">
        <v>730</v>
      </c>
      <c r="D114" s="1501"/>
      <c r="E114" s="452" t="str">
        <f>FHD_NUM_P_74</f>
        <v>13</v>
      </c>
      <c r="F114" s="1740" t="str">
        <f>FHD_P_74</f>
        <v>Удельный расход электрической энергии на подачу воды в сеть</v>
      </c>
      <c r="G114" s="1736" t="s">
        <v>731</v>
      </c>
      <c r="H114" s="483"/>
      <c r="I114" s="483"/>
      <c r="J114" s="206" t="str">
        <f>FHD_NOTE_P_74</f>
        <v/>
      </c>
      <c r="K114" s="449"/>
    </row>
    <row r="115" spans="1:31" s="15859" customFormat="1" ht="18.75" hidden="1" customHeight="1">
      <c r="A115" s="16207" t="s">
        <v>732</v>
      </c>
      <c r="B115" s="804"/>
      <c r="C115" s="635"/>
      <c r="D115" s="633"/>
      <c r="E115" s="452" t="str">
        <f>FHD_NUM_P_75</f>
        <v/>
      </c>
      <c r="F115" s="1740" t="str">
        <f>FHD_P_75</f>
        <v/>
      </c>
      <c r="G115" s="1736" t="s">
        <v>696</v>
      </c>
      <c r="H115" s="463"/>
      <c r="I115" s="463"/>
      <c r="J115" s="206"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15859" customFormat="1" ht="18.75" hidden="1" customHeight="1">
      <c r="A116" s="16207"/>
      <c r="B116" s="804"/>
      <c r="C116" s="635"/>
      <c r="D116" s="633"/>
      <c r="E116" s="452" t="str">
        <f>FHD_NUM_P_76</f>
        <v/>
      </c>
      <c r="F116" s="1740" t="str">
        <f>FHD_P_76</f>
        <v/>
      </c>
      <c r="G116" s="1736" t="s">
        <v>696</v>
      </c>
      <c r="H116" s="463"/>
      <c r="I116" s="463"/>
      <c r="J116" s="206"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15859" customFormat="1" ht="18.75" hidden="1" customHeight="1">
      <c r="A117" s="16207"/>
      <c r="B117" s="804"/>
      <c r="C117" s="635"/>
      <c r="D117" s="633"/>
      <c r="E117" s="452" t="str">
        <f>FHD_NUM_P_77</f>
        <v/>
      </c>
      <c r="F117" s="1740" t="str">
        <f>FHD_P_77</f>
        <v/>
      </c>
      <c r="G117" s="1736" t="s">
        <v>696</v>
      </c>
      <c r="H117" s="463"/>
      <c r="I117" s="463"/>
      <c r="J117" s="206"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14432" customFormat="1" ht="0.75" hidden="1" customHeight="1">
      <c r="A118" s="16207"/>
      <c r="D118" s="454"/>
      <c r="E118" s="901" t="str">
        <f>E117&amp;".0"</f>
        <v>.0</v>
      </c>
      <c r="F118" s="886"/>
      <c r="G118" s="1514"/>
      <c r="H118" s="881"/>
      <c r="I118" s="881"/>
      <c r="J118" s="885"/>
    </row>
    <row r="119" spans="1:31" s="15859" customFormat="1" ht="15" hidden="1" customHeight="1">
      <c r="A119" s="16207"/>
      <c r="B119" s="804"/>
      <c r="C119" s="635"/>
      <c r="D119" s="645"/>
      <c r="E119" s="863"/>
      <c r="F119" s="864" t="s">
        <v>733</v>
      </c>
      <c r="G119" s="646"/>
      <c r="H119" s="647"/>
      <c r="I119" s="647"/>
      <c r="J119" s="891" t="s">
        <v>734</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hidden="1" customHeight="1">
      <c r="A120" s="16207" t="s">
        <v>735</v>
      </c>
      <c r="D120" s="1501"/>
      <c r="E120" s="452" t="str">
        <f>FHD_NUM_P_78</f>
        <v/>
      </c>
      <c r="F120" s="1740" t="str">
        <f>FHD_P_78</f>
        <v/>
      </c>
      <c r="G120" s="1737" t="s">
        <v>698</v>
      </c>
      <c r="H120" s="483"/>
      <c r="I120" s="483"/>
      <c r="J120" s="206" t="str">
        <f>FHD_NOTE_P_78</f>
        <v/>
      </c>
      <c r="K120" s="449"/>
    </row>
    <row r="121" spans="1:31" s="14432" customFormat="1" ht="0.75" hidden="1" customHeight="1">
      <c r="A121" s="16207"/>
      <c r="D121" s="454"/>
      <c r="E121" s="901" t="str">
        <f>E120&amp;".0"</f>
        <v>.0</v>
      </c>
      <c r="F121" s="886"/>
      <c r="G121" s="1514"/>
      <c r="H121" s="881"/>
      <c r="I121" s="881"/>
      <c r="J121" s="885"/>
    </row>
    <row r="122" spans="1:31" ht="15" hidden="1" customHeight="1">
      <c r="A122" s="16207"/>
      <c r="D122" s="1496"/>
      <c r="E122" s="476"/>
      <c r="F122" s="1049" t="s">
        <v>724</v>
      </c>
      <c r="G122" s="478"/>
      <c r="H122" s="479"/>
      <c r="I122" s="479"/>
      <c r="J122" s="892" t="s">
        <v>736</v>
      </c>
      <c r="K122" s="449"/>
    </row>
    <row r="123" spans="1:31" ht="22.5" hidden="1" customHeight="1">
      <c r="A123" s="16207"/>
      <c r="D123" s="1501"/>
      <c r="E123" s="452" t="str">
        <f>FHD_NUM_P_79</f>
        <v/>
      </c>
      <c r="F123" s="1740" t="str">
        <f>FHD_P_79</f>
        <v/>
      </c>
      <c r="G123" s="1738" t="s">
        <v>700</v>
      </c>
      <c r="H123" s="483"/>
      <c r="I123" s="483"/>
      <c r="J123" s="206" t="str">
        <f>FHD_NOTE_P_79</f>
        <v/>
      </c>
      <c r="K123" s="449"/>
    </row>
    <row r="124" spans="1:31" s="14432" customFormat="1" ht="0.75" hidden="1" customHeight="1">
      <c r="A124" s="16207"/>
      <c r="D124" s="454"/>
      <c r="E124" s="901" t="str">
        <f>E123&amp;".0"</f>
        <v>.0</v>
      </c>
      <c r="F124" s="887"/>
      <c r="G124" s="1514"/>
      <c r="H124" s="881"/>
      <c r="I124" s="881"/>
      <c r="J124" s="885"/>
    </row>
    <row r="125" spans="1:31" ht="15" hidden="1" customHeight="1">
      <c r="A125" s="16207"/>
      <c r="D125" s="1496"/>
      <c r="E125" s="476"/>
      <c r="F125" s="1049" t="s">
        <v>724</v>
      </c>
      <c r="G125" s="478"/>
      <c r="H125" s="479"/>
      <c r="I125" s="479"/>
      <c r="J125" s="892" t="s">
        <v>737</v>
      </c>
      <c r="K125" s="449"/>
    </row>
    <row r="126" spans="1:31" ht="22.5" hidden="1" customHeight="1">
      <c r="A126" s="16207"/>
      <c r="D126" s="1501"/>
      <c r="E126" s="452" t="str">
        <f>FHD_NUM_P_80</f>
        <v/>
      </c>
      <c r="F126" s="1740" t="str">
        <f>FHD_P_80</f>
        <v/>
      </c>
      <c r="G126" s="1738" t="s">
        <v>738</v>
      </c>
      <c r="H126" s="463"/>
      <c r="I126" s="463"/>
      <c r="J126" s="206" t="str">
        <f>FHD_NOTE_P_80</f>
        <v/>
      </c>
      <c r="K126" s="449"/>
    </row>
    <row r="127" spans="1:31" ht="18.75" hidden="1" customHeight="1">
      <c r="A127" s="16207"/>
      <c r="D127" s="1501"/>
      <c r="E127" s="452" t="str">
        <f>FHD_NUM_P_81</f>
        <v/>
      </c>
      <c r="F127" s="1740" t="str">
        <f>FHD_P_81</f>
        <v/>
      </c>
      <c r="G127" s="1738" t="s">
        <v>739</v>
      </c>
      <c r="H127" s="463"/>
      <c r="I127" s="463"/>
      <c r="J127" s="206" t="str">
        <f>FHD_NOTE_P_81</f>
        <v/>
      </c>
      <c r="K127" s="449"/>
    </row>
    <row r="128" spans="1:31" ht="18.75" hidden="1" customHeight="1">
      <c r="A128" s="16207"/>
      <c r="C128" s="1499" t="s">
        <v>726</v>
      </c>
      <c r="D128" s="1501"/>
      <c r="E128" s="452" t="str">
        <f>FHD_NUM_P_82</f>
        <v/>
      </c>
      <c r="F128" s="1740" t="str">
        <f>FHD_P_82</f>
        <v/>
      </c>
      <c r="G128" s="1738" t="s">
        <v>443</v>
      </c>
      <c r="H128" s="316"/>
      <c r="I128" s="316"/>
      <c r="J128" s="206" t="str">
        <f>FHD_NOTE_P_82</f>
        <v/>
      </c>
      <c r="K128" s="449"/>
    </row>
    <row r="129" spans="1:31" ht="18.75" hidden="1" customHeight="1">
      <c r="A129" s="16207"/>
      <c r="C129" s="1499" t="s">
        <v>726</v>
      </c>
      <c r="D129" s="1501"/>
      <c r="E129" s="452" t="str">
        <f>FHD_NUM_P_83</f>
        <v/>
      </c>
      <c r="F129" s="1395" t="str">
        <f>FHD_P_83</f>
        <v/>
      </c>
      <c r="G129" s="1738" t="s">
        <v>443</v>
      </c>
      <c r="H129" s="316"/>
      <c r="I129" s="316"/>
      <c r="J129" s="206" t="str">
        <f>FHD_NOTE_P_83</f>
        <v/>
      </c>
      <c r="K129" s="449"/>
    </row>
    <row r="130" spans="1:31" ht="18.75" hidden="1" customHeight="1">
      <c r="A130" s="16207"/>
      <c r="C130" s="1499" t="s">
        <v>726</v>
      </c>
      <c r="D130" s="1501"/>
      <c r="E130" s="452" t="str">
        <f>FHD_NUM_P_84</f>
        <v/>
      </c>
      <c r="F130" s="1395" t="str">
        <f>FHD_P_84</f>
        <v/>
      </c>
      <c r="G130" s="1738" t="s">
        <v>443</v>
      </c>
      <c r="H130" s="316"/>
      <c r="I130" s="316"/>
      <c r="J130" s="206" t="str">
        <f>FHD_NOTE_P_84</f>
        <v/>
      </c>
      <c r="K130" s="449"/>
    </row>
    <row r="131" spans="1:31" ht="11.25" customHeight="1">
      <c r="D131" s="1501"/>
    </row>
    <row r="132" spans="1:31" ht="12.75" customHeight="1">
      <c r="D132" s="1501"/>
      <c r="E132" s="253"/>
      <c r="F132" s="284"/>
      <c r="G132" s="284"/>
      <c r="H132" s="284"/>
      <c r="I132" s="1510"/>
      <c r="J132" s="487"/>
    </row>
    <row r="133" spans="1:31" s="14431" customFormat="1" ht="11.25" customHeight="1">
      <c r="A133" s="876"/>
      <c r="B133" s="1499"/>
      <c r="C133" s="1499"/>
      <c r="D133" s="267"/>
      <c r="F133" s="1503"/>
      <c r="G133" s="1494"/>
      <c r="H133" s="1494"/>
      <c r="I133" s="1494"/>
      <c r="K133" s="1041"/>
      <c r="L133" s="1499"/>
      <c r="M133" s="1499"/>
      <c r="N133" s="1041"/>
      <c r="O133" s="1041"/>
      <c r="P133" s="1041"/>
      <c r="Q133" s="1041"/>
      <c r="R133" s="1499"/>
      <c r="S133" s="1041"/>
      <c r="T133" s="1041"/>
      <c r="U133" s="450"/>
      <c r="V133" s="1041"/>
      <c r="W133" s="1041"/>
      <c r="X133" s="1041"/>
      <c r="Y133" s="1041"/>
      <c r="Z133" s="1041"/>
      <c r="AA133" s="1495"/>
      <c r="AB133" s="472"/>
      <c r="AC133" s="472"/>
      <c r="AD133" s="472"/>
      <c r="AE133" s="472"/>
    </row>
    <row r="134" spans="1:31" s="14431" customFormat="1" ht="11.25" customHeight="1">
      <c r="A134" s="876"/>
      <c r="B134" s="1499"/>
      <c r="C134" s="1499"/>
      <c r="D134" s="267"/>
      <c r="K134" s="1041"/>
      <c r="L134" s="1499"/>
      <c r="M134" s="1499"/>
      <c r="N134" s="1041"/>
      <c r="O134" s="1041"/>
      <c r="P134" s="1041"/>
      <c r="Q134" s="1041"/>
      <c r="R134" s="1499"/>
      <c r="S134" s="1041"/>
      <c r="T134" s="1041"/>
      <c r="U134" s="450"/>
      <c r="V134" s="1041"/>
      <c r="W134" s="1041"/>
      <c r="X134" s="1041"/>
      <c r="Y134" s="1041"/>
      <c r="Z134" s="1041"/>
      <c r="AA134" s="1495"/>
      <c r="AB134" s="472"/>
      <c r="AC134" s="472"/>
      <c r="AD134" s="472"/>
      <c r="AE134" s="472"/>
    </row>
    <row r="135" spans="1:31" s="14431" customFormat="1" ht="11.25" customHeight="1">
      <c r="A135" s="876"/>
      <c r="B135" s="1499"/>
      <c r="C135" s="1499"/>
      <c r="D135" s="267"/>
      <c r="K135" s="1041"/>
      <c r="L135" s="1499"/>
      <c r="M135" s="1499"/>
      <c r="N135" s="1041"/>
      <c r="O135" s="1041"/>
      <c r="P135" s="1041"/>
      <c r="Q135" s="1041"/>
      <c r="R135" s="1499"/>
      <c r="S135" s="1041"/>
      <c r="T135" s="1041"/>
      <c r="U135" s="450"/>
      <c r="V135" s="1041"/>
      <c r="W135" s="1041"/>
      <c r="X135" s="1041"/>
      <c r="Y135" s="1041"/>
      <c r="Z135" s="1041"/>
      <c r="AA135" s="1495"/>
      <c r="AB135" s="472"/>
      <c r="AC135" s="472"/>
      <c r="AD135" s="472"/>
      <c r="AE135" s="472"/>
    </row>
    <row r="136" spans="1:31" s="14431" customFormat="1" ht="11.25" customHeight="1">
      <c r="A136" s="876"/>
      <c r="B136" s="1499"/>
      <c r="C136" s="1499"/>
      <c r="D136" s="267"/>
      <c r="H136" s="472" t="str">
        <f>IF(H30-H31&lt;&gt;H72,"WARNING","")</f>
        <v/>
      </c>
      <c r="I136" s="472" t="str">
        <f>IF(I30-I31&lt;&gt;I72,"WARNING","")</f>
        <v/>
      </c>
      <c r="K136" s="1041"/>
      <c r="L136" s="1499"/>
      <c r="M136" s="1499"/>
      <c r="N136" s="1041"/>
      <c r="O136" s="1041"/>
      <c r="P136" s="1041"/>
      <c r="Q136" s="1041"/>
      <c r="R136" s="1499"/>
      <c r="S136" s="1041"/>
      <c r="T136" s="1041"/>
      <c r="U136" s="450"/>
      <c r="V136" s="1041"/>
      <c r="W136" s="1041"/>
      <c r="X136" s="1041"/>
      <c r="Y136" s="1041"/>
      <c r="Z136" s="1041"/>
      <c r="AA136" s="1495"/>
      <c r="AB136" s="472"/>
      <c r="AC136" s="472"/>
      <c r="AD136" s="472"/>
      <c r="AE136" s="472"/>
    </row>
    <row r="137" spans="1:31" s="14431" customFormat="1" ht="11.25" customHeight="1">
      <c r="A137" s="876"/>
      <c r="B137" s="1499"/>
      <c r="C137" s="1499"/>
      <c r="D137" s="267"/>
      <c r="K137" s="1041"/>
      <c r="L137" s="1499"/>
      <c r="M137" s="1499"/>
      <c r="N137" s="1041"/>
      <c r="O137" s="1041"/>
      <c r="P137" s="1041"/>
      <c r="Q137" s="1041"/>
      <c r="R137" s="1499"/>
      <c r="S137" s="1041"/>
      <c r="T137" s="1041"/>
      <c r="U137" s="450"/>
      <c r="V137" s="1041"/>
      <c r="W137" s="1041"/>
      <c r="X137" s="1041"/>
      <c r="Y137" s="1041"/>
      <c r="Z137" s="1041"/>
      <c r="AA137" s="1495"/>
      <c r="AB137" s="472"/>
      <c r="AC137" s="472"/>
      <c r="AD137" s="472"/>
      <c r="AE137" s="472"/>
    </row>
    <row r="138" spans="1:31" s="14431" customFormat="1" ht="11.25" customHeight="1">
      <c r="A138" s="876"/>
      <c r="B138" s="1499"/>
      <c r="C138" s="1499"/>
      <c r="D138" s="267"/>
      <c r="K138" s="1041"/>
      <c r="L138" s="1499"/>
      <c r="M138" s="1499"/>
      <c r="N138" s="1041"/>
      <c r="O138" s="1041"/>
      <c r="P138" s="1041"/>
      <c r="Q138" s="1041"/>
      <c r="R138" s="1499"/>
      <c r="S138" s="1041"/>
      <c r="T138" s="1041"/>
      <c r="U138" s="450"/>
      <c r="V138" s="1041"/>
      <c r="W138" s="1041"/>
      <c r="X138" s="1041"/>
      <c r="Y138" s="1041"/>
      <c r="Z138" s="1041"/>
      <c r="AA138" s="1495"/>
      <c r="AB138" s="472"/>
      <c r="AC138" s="472"/>
      <c r="AD138" s="472"/>
      <c r="AE138" s="472"/>
    </row>
    <row r="139" spans="1:31" s="14431" customFormat="1" ht="11.25" customHeight="1">
      <c r="A139" s="876"/>
      <c r="B139" s="1499"/>
      <c r="C139" s="1499"/>
      <c r="D139" s="267"/>
      <c r="K139" s="1041"/>
      <c r="L139" s="1499"/>
      <c r="M139" s="1499"/>
      <c r="N139" s="1041"/>
      <c r="O139" s="1041"/>
      <c r="P139" s="1041"/>
      <c r="Q139" s="1041"/>
      <c r="R139" s="1499"/>
      <c r="S139" s="1041"/>
      <c r="T139" s="1041"/>
      <c r="U139" s="450"/>
      <c r="V139" s="1041"/>
      <c r="W139" s="1041"/>
      <c r="X139" s="1041"/>
      <c r="Y139" s="1041"/>
      <c r="Z139" s="1041"/>
      <c r="AA139" s="1495"/>
      <c r="AB139" s="472"/>
      <c r="AC139" s="472"/>
      <c r="AD139" s="472"/>
      <c r="AE139" s="472"/>
    </row>
    <row r="140" spans="1:31" s="14431" customFormat="1" ht="11.25" customHeight="1">
      <c r="A140" s="876"/>
      <c r="B140" s="1499"/>
      <c r="C140" s="1499"/>
      <c r="D140" s="267"/>
      <c r="K140" s="1041"/>
      <c r="L140" s="1499"/>
      <c r="M140" s="1499"/>
      <c r="N140" s="1041"/>
      <c r="O140" s="1041"/>
      <c r="P140" s="1041"/>
      <c r="Q140" s="1041"/>
      <c r="R140" s="1499"/>
      <c r="S140" s="1041"/>
      <c r="T140" s="1041"/>
      <c r="U140" s="450"/>
      <c r="V140" s="1041"/>
      <c r="W140" s="1041"/>
      <c r="X140" s="1041"/>
      <c r="Y140" s="1041"/>
      <c r="Z140" s="1041"/>
      <c r="AA140" s="1495"/>
      <c r="AB140" s="472"/>
      <c r="AC140" s="472"/>
      <c r="AD140" s="472"/>
      <c r="AE140" s="472"/>
    </row>
    <row r="141" spans="1:31" s="14431" customFormat="1" ht="11.25" customHeight="1">
      <c r="A141" s="876"/>
      <c r="B141" s="1499"/>
      <c r="C141" s="1499"/>
      <c r="D141" s="267"/>
      <c r="K141" s="1041"/>
      <c r="L141" s="1499"/>
      <c r="M141" s="1499"/>
      <c r="N141" s="1041"/>
      <c r="O141" s="1041"/>
      <c r="P141" s="1041"/>
      <c r="Q141" s="1041"/>
      <c r="R141" s="1499"/>
      <c r="S141" s="1041"/>
      <c r="T141" s="1041"/>
      <c r="U141" s="450"/>
      <c r="V141" s="1041"/>
      <c r="W141" s="1041"/>
      <c r="X141" s="1041"/>
      <c r="Y141" s="1041"/>
      <c r="Z141" s="1041"/>
      <c r="AA141" s="1495"/>
      <c r="AB141" s="472"/>
      <c r="AC141" s="472"/>
      <c r="AD141" s="472"/>
      <c r="AE141" s="472"/>
    </row>
    <row r="142" spans="1:31" s="14431" customFormat="1" ht="11.25" customHeight="1">
      <c r="A142" s="876"/>
      <c r="B142" s="1499"/>
      <c r="C142" s="1499"/>
      <c r="D142" s="267"/>
      <c r="K142" s="1041"/>
      <c r="L142" s="1499"/>
      <c r="M142" s="1499"/>
      <c r="N142" s="1041"/>
      <c r="O142" s="1041"/>
      <c r="P142" s="1041"/>
      <c r="Q142" s="1041"/>
      <c r="R142" s="1499"/>
      <c r="S142" s="1041"/>
      <c r="T142" s="1041"/>
      <c r="U142" s="450"/>
      <c r="V142" s="1041"/>
      <c r="W142" s="1041"/>
      <c r="X142" s="1041"/>
      <c r="Y142" s="1041"/>
      <c r="Z142" s="1041"/>
      <c r="AA142" s="1495"/>
      <c r="AB142" s="472"/>
      <c r="AC142" s="472"/>
      <c r="AD142" s="472"/>
      <c r="AE142" s="472"/>
    </row>
    <row r="143" spans="1:31" s="14431" customFormat="1" ht="11.25" customHeight="1">
      <c r="A143" s="876"/>
      <c r="B143" s="1499"/>
      <c r="C143" s="1499"/>
      <c r="D143" s="267"/>
      <c r="K143" s="1041"/>
      <c r="L143" s="1499"/>
      <c r="M143" s="1499"/>
      <c r="N143" s="1041"/>
      <c r="O143" s="1041"/>
      <c r="P143" s="1041"/>
      <c r="Q143" s="1041"/>
      <c r="R143" s="1499"/>
      <c r="S143" s="1041"/>
      <c r="T143" s="1041"/>
      <c r="U143" s="450"/>
      <c r="V143" s="1041"/>
      <c r="W143" s="1041"/>
      <c r="X143" s="1041"/>
      <c r="Y143" s="1041"/>
      <c r="Z143" s="1041"/>
      <c r="AA143" s="1495"/>
      <c r="AB143" s="472"/>
      <c r="AC143" s="472"/>
      <c r="AD143" s="472"/>
      <c r="AE143" s="472"/>
    </row>
    <row r="144" spans="1:31" s="14431" customFormat="1" ht="11.25" customHeight="1">
      <c r="A144" s="876"/>
      <c r="B144" s="1499"/>
      <c r="C144" s="1499"/>
      <c r="D144" s="267"/>
      <c r="K144" s="1041"/>
      <c r="L144" s="1499"/>
      <c r="M144" s="1499"/>
      <c r="N144" s="1041"/>
      <c r="O144" s="1041"/>
      <c r="P144" s="1041"/>
      <c r="Q144" s="1041"/>
      <c r="R144" s="1499"/>
      <c r="S144" s="1041"/>
      <c r="T144" s="1041"/>
      <c r="U144" s="450"/>
      <c r="V144" s="1041"/>
      <c r="W144" s="1041"/>
      <c r="X144" s="1041"/>
      <c r="Y144" s="1041"/>
      <c r="Z144" s="1041"/>
      <c r="AA144" s="1495"/>
      <c r="AB144" s="472"/>
      <c r="AC144" s="472"/>
      <c r="AD144" s="472"/>
      <c r="AE144" s="472"/>
    </row>
    <row r="145" spans="1:31" s="14431" customFormat="1" ht="11.25" customHeight="1">
      <c r="A145" s="876"/>
      <c r="B145" s="1499"/>
      <c r="C145" s="1499"/>
      <c r="D145" s="267"/>
      <c r="K145" s="1041"/>
      <c r="L145" s="1499"/>
      <c r="M145" s="1499"/>
      <c r="N145" s="1041"/>
      <c r="O145" s="1041"/>
      <c r="P145" s="1041"/>
      <c r="Q145" s="1041"/>
      <c r="R145" s="1499"/>
      <c r="S145" s="1041"/>
      <c r="T145" s="1041"/>
      <c r="U145" s="450"/>
      <c r="V145" s="1041"/>
      <c r="W145" s="1041"/>
      <c r="X145" s="1041"/>
      <c r="Y145" s="1041"/>
      <c r="Z145" s="1041"/>
      <c r="AA145" s="1495"/>
      <c r="AB145" s="472"/>
      <c r="AC145" s="472"/>
      <c r="AD145" s="472"/>
      <c r="AE145" s="472"/>
    </row>
    <row r="146" spans="1:31" s="14431" customFormat="1" ht="11.25" customHeight="1">
      <c r="A146" s="876"/>
      <c r="B146" s="1499"/>
      <c r="C146" s="1499"/>
      <c r="D146" s="267"/>
      <c r="K146" s="1041"/>
      <c r="L146" s="1499"/>
      <c r="M146" s="1499"/>
      <c r="N146" s="1041"/>
      <c r="O146" s="1041"/>
      <c r="P146" s="1041"/>
      <c r="Q146" s="1041"/>
      <c r="R146" s="1499"/>
      <c r="S146" s="1041"/>
      <c r="T146" s="1041"/>
      <c r="U146" s="450"/>
      <c r="V146" s="1041"/>
      <c r="W146" s="1041"/>
      <c r="X146" s="1041"/>
      <c r="Y146" s="1041"/>
      <c r="Z146" s="1041"/>
      <c r="AA146" s="1495"/>
      <c r="AB146" s="472"/>
      <c r="AC146" s="472"/>
      <c r="AD146" s="472"/>
      <c r="AE146" s="472"/>
    </row>
    <row r="147" spans="1:31" s="14431" customFormat="1" ht="11.25" customHeight="1">
      <c r="A147" s="876"/>
      <c r="B147" s="1499"/>
      <c r="C147" s="1499"/>
      <c r="D147" s="267"/>
      <c r="K147" s="1041"/>
      <c r="L147" s="1499"/>
      <c r="M147" s="1499"/>
      <c r="N147" s="1041"/>
      <c r="O147" s="1041"/>
      <c r="P147" s="1041"/>
      <c r="Q147" s="1041"/>
      <c r="R147" s="1499"/>
      <c r="S147" s="1041"/>
      <c r="T147" s="1041"/>
      <c r="U147" s="450"/>
      <c r="V147" s="1041"/>
      <c r="W147" s="1041"/>
      <c r="X147" s="1041"/>
      <c r="Y147" s="1041"/>
      <c r="Z147" s="1041"/>
      <c r="AA147" s="1495"/>
      <c r="AB147" s="472"/>
      <c r="AC147" s="472"/>
      <c r="AD147" s="472"/>
      <c r="AE147" s="472"/>
    </row>
    <row r="148" spans="1:31" s="14431" customFormat="1" ht="11.25" customHeight="1">
      <c r="A148" s="876"/>
      <c r="B148" s="1499"/>
      <c r="C148" s="1499"/>
      <c r="D148" s="267"/>
      <c r="K148" s="1041"/>
      <c r="L148" s="1499"/>
      <c r="M148" s="1499"/>
      <c r="N148" s="1041"/>
      <c r="O148" s="1041"/>
      <c r="P148" s="1041"/>
      <c r="Q148" s="1041"/>
      <c r="R148" s="1499"/>
      <c r="S148" s="1041"/>
      <c r="T148" s="1041"/>
      <c r="U148" s="450"/>
      <c r="V148" s="1041"/>
      <c r="W148" s="1041"/>
      <c r="X148" s="1041"/>
      <c r="Y148" s="1041"/>
      <c r="Z148" s="1041"/>
      <c r="AA148" s="1495"/>
      <c r="AB148" s="472"/>
      <c r="AC148" s="472"/>
      <c r="AD148" s="472"/>
      <c r="AE148" s="472"/>
    </row>
    <row r="149" spans="1:31" s="14431" customFormat="1" ht="11.25" customHeight="1">
      <c r="A149" s="876"/>
      <c r="B149" s="1499"/>
      <c r="C149" s="1499"/>
      <c r="D149" s="267"/>
      <c r="K149" s="1041"/>
      <c r="L149" s="1499"/>
      <c r="M149" s="1499"/>
      <c r="N149" s="1041"/>
      <c r="O149" s="1041"/>
      <c r="P149" s="1041"/>
      <c r="Q149" s="1041"/>
      <c r="R149" s="1499"/>
      <c r="S149" s="1041"/>
      <c r="T149" s="1041"/>
      <c r="U149" s="450"/>
      <c r="V149" s="1041"/>
      <c r="W149" s="1041"/>
      <c r="X149" s="1041"/>
      <c r="Y149" s="1041"/>
      <c r="Z149" s="1041"/>
      <c r="AA149" s="1495"/>
      <c r="AB149" s="472"/>
      <c r="AC149" s="472"/>
      <c r="AD149" s="472"/>
      <c r="AE149" s="472"/>
    </row>
    <row r="150" spans="1:31" s="14431" customFormat="1" ht="11.25" customHeight="1">
      <c r="A150" s="876"/>
      <c r="B150" s="1499"/>
      <c r="C150" s="1499"/>
      <c r="D150" s="267"/>
      <c r="K150" s="1041"/>
      <c r="L150" s="1499"/>
      <c r="M150" s="1499"/>
      <c r="N150" s="1041"/>
      <c r="O150" s="1041"/>
      <c r="P150" s="1041"/>
      <c r="Q150" s="1041"/>
      <c r="R150" s="1499"/>
      <c r="S150" s="1041"/>
      <c r="T150" s="1041"/>
      <c r="U150" s="450"/>
      <c r="V150" s="1041"/>
      <c r="W150" s="1041"/>
      <c r="X150" s="1041"/>
      <c r="Y150" s="1041"/>
      <c r="Z150" s="1041"/>
      <c r="AA150" s="1495"/>
      <c r="AB150" s="472"/>
      <c r="AC150" s="472"/>
      <c r="AD150" s="472"/>
      <c r="AE150" s="472"/>
    </row>
    <row r="151" spans="1:31" s="14431" customFormat="1" ht="11.25" customHeight="1">
      <c r="A151" s="876"/>
      <c r="B151" s="1499"/>
      <c r="C151" s="1499"/>
      <c r="D151" s="267"/>
      <c r="K151" s="1041"/>
      <c r="L151" s="1499"/>
      <c r="M151" s="1499"/>
      <c r="N151" s="1041"/>
      <c r="O151" s="1041"/>
      <c r="P151" s="1041"/>
      <c r="Q151" s="1041"/>
      <c r="R151" s="1499"/>
      <c r="S151" s="1041"/>
      <c r="T151" s="1041"/>
      <c r="U151" s="450"/>
      <c r="V151" s="1041"/>
      <c r="W151" s="1041"/>
      <c r="X151" s="1041"/>
      <c r="Y151" s="1041"/>
      <c r="Z151" s="1041"/>
      <c r="AA151" s="1495"/>
      <c r="AB151" s="472"/>
      <c r="AC151" s="472"/>
      <c r="AD151" s="472"/>
      <c r="AE151" s="472"/>
    </row>
    <row r="152" spans="1:31" s="14431" customFormat="1" ht="11.25" customHeight="1">
      <c r="A152" s="876"/>
      <c r="B152" s="1499"/>
      <c r="C152" s="1499"/>
      <c r="D152" s="267"/>
      <c r="K152" s="1041"/>
      <c r="L152" s="1499"/>
      <c r="M152" s="1499"/>
      <c r="N152" s="1041"/>
      <c r="O152" s="1041"/>
      <c r="P152" s="1041"/>
      <c r="Q152" s="1041"/>
      <c r="R152" s="1499"/>
      <c r="S152" s="1041"/>
      <c r="T152" s="1041"/>
      <c r="U152" s="450"/>
      <c r="V152" s="1041"/>
      <c r="W152" s="1041"/>
      <c r="X152" s="1041"/>
      <c r="Y152" s="1041"/>
      <c r="Z152" s="1041"/>
      <c r="AA152" s="1495"/>
      <c r="AB152" s="472"/>
      <c r="AC152" s="472"/>
      <c r="AD152" s="472"/>
      <c r="AE152" s="472"/>
    </row>
    <row r="153" spans="1:31" s="14431" customFormat="1" ht="11.25" customHeight="1">
      <c r="A153" s="876"/>
      <c r="B153" s="1499"/>
      <c r="C153" s="1499"/>
      <c r="D153" s="267"/>
      <c r="K153" s="1041"/>
      <c r="L153" s="1499"/>
      <c r="M153" s="1499"/>
      <c r="N153" s="1041"/>
      <c r="O153" s="1041"/>
      <c r="P153" s="1041"/>
      <c r="Q153" s="1041"/>
      <c r="R153" s="1499"/>
      <c r="S153" s="1041"/>
      <c r="T153" s="1041"/>
      <c r="U153" s="450"/>
      <c r="V153" s="1041"/>
      <c r="W153" s="1041"/>
      <c r="X153" s="1041"/>
      <c r="Y153" s="1041"/>
      <c r="Z153" s="1041"/>
      <c r="AA153" s="1495"/>
      <c r="AB153" s="472"/>
      <c r="AC153" s="472"/>
      <c r="AD153" s="472"/>
      <c r="AE153" s="472"/>
    </row>
    <row r="154" spans="1:31" s="14431" customFormat="1" ht="11.25" customHeight="1">
      <c r="A154" s="876"/>
      <c r="B154" s="1499"/>
      <c r="C154" s="1499"/>
      <c r="D154" s="267"/>
      <c r="K154" s="1041"/>
      <c r="L154" s="1499"/>
      <c r="M154" s="1499"/>
      <c r="N154" s="1041"/>
      <c r="O154" s="1041"/>
      <c r="P154" s="1041"/>
      <c r="Q154" s="1041"/>
      <c r="R154" s="1499"/>
      <c r="S154" s="1041"/>
      <c r="T154" s="1041"/>
      <c r="U154" s="450"/>
      <c r="V154" s="1041"/>
      <c r="W154" s="1041"/>
      <c r="X154" s="1041"/>
      <c r="Y154" s="1041"/>
      <c r="Z154" s="1041"/>
      <c r="AA154" s="1495"/>
      <c r="AB154" s="472"/>
      <c r="AC154" s="472"/>
      <c r="AD154" s="472"/>
      <c r="AE154" s="472"/>
    </row>
    <row r="155" spans="1:31" s="14431" customFormat="1" ht="11.25" customHeight="1">
      <c r="A155" s="876"/>
      <c r="B155" s="1499"/>
      <c r="C155" s="1499"/>
      <c r="D155" s="267"/>
      <c r="K155" s="1041"/>
      <c r="L155" s="1499"/>
      <c r="M155" s="1499"/>
      <c r="N155" s="1041"/>
      <c r="O155" s="1041"/>
      <c r="P155" s="1041"/>
      <c r="Q155" s="1041"/>
      <c r="R155" s="1499"/>
      <c r="S155" s="1041"/>
      <c r="T155" s="1041"/>
      <c r="U155" s="450"/>
      <c r="V155" s="1041"/>
      <c r="W155" s="1041"/>
      <c r="X155" s="1041"/>
      <c r="Y155" s="1041"/>
      <c r="Z155" s="1041"/>
      <c r="AA155" s="1495"/>
      <c r="AB155" s="472"/>
      <c r="AC155" s="472"/>
      <c r="AD155" s="472"/>
      <c r="AE155" s="472"/>
    </row>
    <row r="156" spans="1:31" s="14431" customFormat="1" ht="11.25" customHeight="1">
      <c r="A156" s="876"/>
      <c r="B156" s="1499"/>
      <c r="C156" s="1499"/>
      <c r="D156" s="267"/>
      <c r="K156" s="1041"/>
      <c r="L156" s="1499"/>
      <c r="M156" s="1499"/>
      <c r="N156" s="1041"/>
      <c r="O156" s="1041"/>
      <c r="P156" s="1041"/>
      <c r="Q156" s="1041"/>
      <c r="R156" s="1499"/>
      <c r="S156" s="1041"/>
      <c r="T156" s="1041"/>
      <c r="U156" s="450"/>
      <c r="V156" s="1041"/>
      <c r="W156" s="1041"/>
      <c r="X156" s="1041"/>
      <c r="Y156" s="1041"/>
      <c r="Z156" s="1041"/>
      <c r="AA156" s="1495"/>
      <c r="AB156" s="472"/>
      <c r="AC156" s="472"/>
      <c r="AD156" s="472"/>
      <c r="AE156" s="472"/>
    </row>
    <row r="157" spans="1:31" s="14431" customFormat="1" ht="11.25" customHeight="1">
      <c r="A157" s="876"/>
      <c r="B157" s="1499"/>
      <c r="C157" s="1499"/>
      <c r="D157" s="267"/>
      <c r="K157" s="1041"/>
      <c r="L157" s="1499"/>
      <c r="M157" s="1499"/>
      <c r="N157" s="1041"/>
      <c r="O157" s="1041"/>
      <c r="P157" s="1041"/>
      <c r="Q157" s="1041"/>
      <c r="R157" s="1499"/>
      <c r="S157" s="1041"/>
      <c r="T157" s="1041"/>
      <c r="U157" s="450"/>
      <c r="V157" s="1041"/>
      <c r="W157" s="1041"/>
      <c r="X157" s="1041"/>
      <c r="Y157" s="1041"/>
      <c r="Z157" s="1041"/>
      <c r="AA157" s="1495"/>
      <c r="AB157" s="472"/>
      <c r="AC157" s="472"/>
      <c r="AD157" s="472"/>
      <c r="AE157" s="472"/>
    </row>
    <row r="158" spans="1:31" s="14431" customFormat="1" ht="11.25" customHeight="1">
      <c r="A158" s="876"/>
      <c r="B158" s="1499"/>
      <c r="C158" s="1499"/>
      <c r="D158" s="267"/>
      <c r="K158" s="1041"/>
      <c r="L158" s="1499"/>
      <c r="M158" s="1499"/>
      <c r="N158" s="1041"/>
      <c r="O158" s="1041"/>
      <c r="P158" s="1041"/>
      <c r="Q158" s="1041"/>
      <c r="R158" s="1499"/>
      <c r="S158" s="1041"/>
      <c r="T158" s="1041"/>
      <c r="U158" s="450"/>
      <c r="V158" s="1041"/>
      <c r="W158" s="1041"/>
      <c r="X158" s="1041"/>
      <c r="Y158" s="1041"/>
      <c r="Z158" s="1041"/>
      <c r="AA158" s="1495"/>
      <c r="AB158" s="472"/>
      <c r="AC158" s="472"/>
      <c r="AD158" s="472"/>
      <c r="AE158" s="472"/>
    </row>
    <row r="159" spans="1:31" s="14431" customFormat="1" ht="11.25" customHeight="1">
      <c r="A159" s="876"/>
      <c r="B159" s="1499"/>
      <c r="C159" s="1499"/>
      <c r="D159" s="267"/>
      <c r="K159" s="1041"/>
      <c r="L159" s="1499"/>
      <c r="M159" s="1499"/>
      <c r="N159" s="1041"/>
      <c r="O159" s="1041"/>
      <c r="P159" s="1041"/>
      <c r="Q159" s="1041"/>
      <c r="R159" s="1499"/>
      <c r="S159" s="1041"/>
      <c r="T159" s="1041"/>
      <c r="U159" s="450"/>
      <c r="V159" s="1041"/>
      <c r="W159" s="1041"/>
      <c r="X159" s="1041"/>
      <c r="Y159" s="1041"/>
      <c r="Z159" s="1041"/>
      <c r="AA159" s="1495"/>
      <c r="AB159" s="472"/>
      <c r="AC159" s="472"/>
      <c r="AD159" s="472"/>
      <c r="AE159" s="472"/>
    </row>
    <row r="160" spans="1:31" s="14431" customFormat="1" ht="11.25" customHeight="1">
      <c r="A160" s="876"/>
      <c r="B160" s="1499"/>
      <c r="C160" s="1499"/>
      <c r="D160" s="267"/>
      <c r="K160" s="1041"/>
      <c r="L160" s="1499"/>
      <c r="M160" s="1499"/>
      <c r="N160" s="1041"/>
      <c r="O160" s="1041"/>
      <c r="P160" s="1041"/>
      <c r="Q160" s="1041"/>
      <c r="R160" s="1499"/>
      <c r="S160" s="1041"/>
      <c r="T160" s="1041"/>
      <c r="U160" s="450"/>
      <c r="V160" s="1041"/>
      <c r="W160" s="1041"/>
      <c r="X160" s="1041"/>
      <c r="Y160" s="1041"/>
      <c r="Z160" s="1041"/>
      <c r="AA160" s="1495"/>
      <c r="AB160" s="472"/>
      <c r="AC160" s="472"/>
      <c r="AD160" s="472"/>
      <c r="AE160" s="472"/>
    </row>
    <row r="161" spans="1:31" s="14431" customFormat="1" ht="11.25" customHeight="1">
      <c r="A161" s="876"/>
      <c r="B161" s="1499"/>
      <c r="C161" s="1499"/>
      <c r="D161" s="267"/>
      <c r="K161" s="1041"/>
      <c r="L161" s="1499"/>
      <c r="M161" s="1499"/>
      <c r="N161" s="1041"/>
      <c r="O161" s="1041"/>
      <c r="P161" s="1041"/>
      <c r="Q161" s="1041"/>
      <c r="R161" s="1499"/>
      <c r="S161" s="1041"/>
      <c r="T161" s="1041"/>
      <c r="U161" s="450"/>
      <c r="V161" s="1041"/>
      <c r="W161" s="1041"/>
      <c r="X161" s="1041"/>
      <c r="Y161" s="1041"/>
      <c r="Z161" s="1041"/>
      <c r="AA161" s="1495"/>
      <c r="AB161" s="472"/>
      <c r="AC161" s="472"/>
      <c r="AD161" s="472"/>
      <c r="AE161" s="472"/>
    </row>
    <row r="162" spans="1:31" s="14431" customFormat="1" ht="11.25" customHeight="1">
      <c r="A162" s="876"/>
      <c r="B162" s="1499"/>
      <c r="C162" s="1499"/>
      <c r="D162" s="267"/>
      <c r="K162" s="1041"/>
      <c r="L162" s="1499"/>
      <c r="M162" s="1499"/>
      <c r="N162" s="1041"/>
      <c r="O162" s="1041"/>
      <c r="P162" s="1041"/>
      <c r="Q162" s="1041"/>
      <c r="R162" s="1499"/>
      <c r="S162" s="1041"/>
      <c r="T162" s="1041"/>
      <c r="U162" s="450"/>
      <c r="V162" s="1041"/>
      <c r="W162" s="1041"/>
      <c r="X162" s="1041"/>
      <c r="Y162" s="1041"/>
      <c r="Z162" s="1041"/>
      <c r="AA162" s="1495"/>
      <c r="AB162" s="472"/>
      <c r="AC162" s="472"/>
      <c r="AD162" s="472"/>
      <c r="AE162" s="472"/>
    </row>
    <row r="163" spans="1:31" s="14431" customFormat="1" ht="11.25" customHeight="1">
      <c r="A163" s="876"/>
      <c r="B163" s="1499"/>
      <c r="C163" s="1499"/>
      <c r="D163" s="267"/>
      <c r="K163" s="1041"/>
      <c r="L163" s="1499"/>
      <c r="M163" s="1499"/>
      <c r="N163" s="1041"/>
      <c r="O163" s="1041"/>
      <c r="P163" s="1041"/>
      <c r="Q163" s="1041"/>
      <c r="R163" s="1499"/>
      <c r="S163" s="1041"/>
      <c r="T163" s="1041"/>
      <c r="U163" s="450"/>
      <c r="V163" s="1041"/>
      <c r="W163" s="1041"/>
      <c r="X163" s="1041"/>
      <c r="Y163" s="1041"/>
      <c r="Z163" s="1041"/>
      <c r="AA163" s="1495"/>
      <c r="AB163" s="472"/>
      <c r="AC163" s="472"/>
      <c r="AD163" s="472"/>
      <c r="AE163" s="472"/>
    </row>
    <row r="164" spans="1:31" s="14431" customFormat="1" ht="11.25" customHeight="1">
      <c r="A164" s="876"/>
      <c r="B164" s="1499"/>
      <c r="C164" s="1499"/>
      <c r="D164" s="267"/>
      <c r="K164" s="1041"/>
      <c r="L164" s="1499"/>
      <c r="M164" s="1499"/>
      <c r="N164" s="1041"/>
      <c r="O164" s="1041"/>
      <c r="P164" s="1041"/>
      <c r="Q164" s="1041"/>
      <c r="R164" s="1499"/>
      <c r="S164" s="1041"/>
      <c r="T164" s="1041"/>
      <c r="U164" s="450"/>
      <c r="V164" s="1041"/>
      <c r="W164" s="1041"/>
      <c r="X164" s="1041"/>
      <c r="Y164" s="1041"/>
      <c r="Z164" s="1041"/>
      <c r="AA164" s="1495"/>
      <c r="AB164" s="472"/>
      <c r="AC164" s="472"/>
      <c r="AD164" s="472"/>
      <c r="AE164" s="472"/>
    </row>
    <row r="165" spans="1:31" s="14431" customFormat="1" ht="11.25" customHeight="1">
      <c r="A165" s="876"/>
      <c r="B165" s="1499"/>
      <c r="C165" s="1499"/>
      <c r="D165" s="267"/>
      <c r="K165" s="1041"/>
      <c r="L165" s="1499"/>
      <c r="M165" s="1499"/>
      <c r="N165" s="1041"/>
      <c r="O165" s="1041"/>
      <c r="P165" s="1041"/>
      <c r="Q165" s="1041"/>
      <c r="R165" s="1499"/>
      <c r="S165" s="1041"/>
      <c r="T165" s="1041"/>
      <c r="U165" s="450"/>
      <c r="V165" s="1041"/>
      <c r="W165" s="1041"/>
      <c r="X165" s="1041"/>
      <c r="Y165" s="1041"/>
      <c r="Z165" s="1041"/>
      <c r="AA165" s="1495"/>
      <c r="AB165" s="472"/>
      <c r="AC165" s="472"/>
      <c r="AD165" s="472"/>
      <c r="AE165" s="472"/>
    </row>
    <row r="166" spans="1:31" s="14431" customFormat="1" ht="11.25" customHeight="1">
      <c r="A166" s="876"/>
      <c r="B166" s="1499"/>
      <c r="C166" s="1499"/>
      <c r="D166" s="267"/>
      <c r="K166" s="1041"/>
      <c r="L166" s="1499"/>
      <c r="M166" s="1499"/>
      <c r="N166" s="1041"/>
      <c r="O166" s="1041"/>
      <c r="P166" s="1041"/>
      <c r="Q166" s="1041"/>
      <c r="R166" s="1499"/>
      <c r="S166" s="1041"/>
      <c r="T166" s="1041"/>
      <c r="U166" s="450"/>
      <c r="V166" s="1041"/>
      <c r="W166" s="1041"/>
      <c r="X166" s="1041"/>
      <c r="Y166" s="1041"/>
      <c r="Z166" s="1041"/>
      <c r="AA166" s="1495"/>
      <c r="AB166" s="472"/>
      <c r="AC166" s="472"/>
      <c r="AD166" s="472"/>
      <c r="AE166" s="472"/>
    </row>
    <row r="167" spans="1:31" s="14431" customFormat="1" ht="11.25" customHeight="1">
      <c r="A167" s="876"/>
      <c r="B167" s="1499"/>
      <c r="C167" s="1499"/>
      <c r="D167" s="267"/>
      <c r="K167" s="1041"/>
      <c r="L167" s="1499"/>
      <c r="M167" s="1499"/>
      <c r="N167" s="1041"/>
      <c r="O167" s="1041"/>
      <c r="P167" s="1041"/>
      <c r="Q167" s="1041"/>
      <c r="R167" s="1499"/>
      <c r="S167" s="1041"/>
      <c r="T167" s="1041"/>
      <c r="U167" s="450"/>
      <c r="V167" s="1041"/>
      <c r="W167" s="1041"/>
      <c r="X167" s="1041"/>
      <c r="Y167" s="1041"/>
      <c r="Z167" s="1041"/>
      <c r="AA167" s="1495"/>
      <c r="AB167" s="472"/>
      <c r="AC167" s="472"/>
      <c r="AD167" s="472"/>
      <c r="AE167" s="472"/>
    </row>
    <row r="168" spans="1:31" s="14431" customFormat="1" ht="11.25" customHeight="1">
      <c r="A168" s="876"/>
      <c r="B168" s="1499"/>
      <c r="C168" s="1499"/>
      <c r="D168" s="267"/>
      <c r="K168" s="1041"/>
      <c r="L168" s="1499"/>
      <c r="M168" s="1499"/>
      <c r="N168" s="1041"/>
      <c r="O168" s="1041"/>
      <c r="P168" s="1041"/>
      <c r="Q168" s="1041"/>
      <c r="R168" s="1499"/>
      <c r="S168" s="1041"/>
      <c r="T168" s="1041"/>
      <c r="U168" s="450"/>
      <c r="V168" s="1041"/>
      <c r="W168" s="1041"/>
      <c r="X168" s="1041"/>
      <c r="Y168" s="1041"/>
      <c r="Z168" s="1041"/>
      <c r="AA168" s="1495"/>
      <c r="AB168" s="472"/>
      <c r="AC168" s="472"/>
      <c r="AD168" s="472"/>
      <c r="AE168" s="472"/>
    </row>
    <row r="169" spans="1:31" s="14431" customFormat="1" ht="11.25" customHeight="1">
      <c r="A169" s="876"/>
      <c r="B169" s="1499"/>
      <c r="C169" s="1499"/>
      <c r="D169" s="267"/>
      <c r="K169" s="1041"/>
      <c r="L169" s="1499"/>
      <c r="M169" s="1499"/>
      <c r="N169" s="1041"/>
      <c r="O169" s="1041"/>
      <c r="P169" s="1041"/>
      <c r="Q169" s="1041"/>
      <c r="R169" s="1499"/>
      <c r="S169" s="1041"/>
      <c r="T169" s="1041"/>
      <c r="U169" s="450"/>
      <c r="V169" s="1041"/>
      <c r="W169" s="1041"/>
      <c r="X169" s="1041"/>
      <c r="Y169" s="1041"/>
      <c r="Z169" s="1041"/>
      <c r="AA169" s="1495"/>
      <c r="AB169" s="472"/>
      <c r="AC169" s="472"/>
      <c r="AD169" s="472"/>
      <c r="AE169" s="472"/>
    </row>
    <row r="170" spans="1:31" s="14431" customFormat="1" ht="11.25" customHeight="1">
      <c r="A170" s="876"/>
      <c r="B170" s="1499"/>
      <c r="C170" s="1499"/>
      <c r="D170" s="267"/>
      <c r="K170" s="1041"/>
      <c r="L170" s="1499"/>
      <c r="M170" s="1499"/>
      <c r="N170" s="1041"/>
      <c r="O170" s="1041"/>
      <c r="P170" s="1041"/>
      <c r="Q170" s="1041"/>
      <c r="R170" s="1499"/>
      <c r="S170" s="1041"/>
      <c r="T170" s="1041"/>
      <c r="U170" s="450"/>
      <c r="V170" s="1041"/>
      <c r="W170" s="1041"/>
      <c r="X170" s="1041"/>
      <c r="Y170" s="1041"/>
      <c r="Z170" s="1041"/>
      <c r="AA170" s="1495"/>
      <c r="AB170" s="472"/>
      <c r="AC170" s="472"/>
      <c r="AD170" s="472"/>
      <c r="AE170" s="472"/>
    </row>
    <row r="171" spans="1:31" s="14431" customFormat="1" ht="11.25" customHeight="1">
      <c r="A171" s="876"/>
      <c r="B171" s="1499"/>
      <c r="C171" s="1499"/>
      <c r="D171" s="267"/>
      <c r="K171" s="1041"/>
      <c r="L171" s="1499"/>
      <c r="M171" s="1499"/>
      <c r="N171" s="1041"/>
      <c r="O171" s="1041"/>
      <c r="P171" s="1041"/>
      <c r="Q171" s="1041"/>
      <c r="R171" s="1499"/>
      <c r="S171" s="1041"/>
      <c r="T171" s="1041"/>
      <c r="U171" s="450"/>
      <c r="V171" s="1041"/>
      <c r="W171" s="1041"/>
      <c r="X171" s="1041"/>
      <c r="Y171" s="1041"/>
      <c r="Z171" s="1041"/>
      <c r="AA171" s="1495"/>
      <c r="AB171" s="472"/>
      <c r="AC171" s="472"/>
      <c r="AD171" s="472"/>
      <c r="AE171" s="472"/>
    </row>
    <row r="172" spans="1:31" s="14431" customFormat="1" ht="11.25" customHeight="1">
      <c r="A172" s="876"/>
      <c r="B172" s="1499"/>
      <c r="C172" s="1499"/>
      <c r="D172" s="267"/>
      <c r="K172" s="1041"/>
      <c r="L172" s="1499"/>
      <c r="M172" s="1499"/>
      <c r="N172" s="1041"/>
      <c r="O172" s="1041"/>
      <c r="P172" s="1041"/>
      <c r="Q172" s="1041"/>
      <c r="R172" s="1499"/>
      <c r="S172" s="1041"/>
      <c r="T172" s="1041"/>
      <c r="U172" s="450"/>
      <c r="V172" s="1041"/>
      <c r="W172" s="1041"/>
      <c r="X172" s="1041"/>
      <c r="Y172" s="1041"/>
      <c r="Z172" s="1041"/>
      <c r="AA172" s="1495"/>
      <c r="AB172" s="472"/>
      <c r="AC172" s="472"/>
      <c r="AD172" s="472"/>
      <c r="AE172" s="472"/>
    </row>
    <row r="173" spans="1:31" s="14431" customFormat="1" ht="11.25" customHeight="1">
      <c r="A173" s="876"/>
      <c r="B173" s="1499"/>
      <c r="C173" s="1499"/>
      <c r="D173" s="267"/>
      <c r="K173" s="1041"/>
      <c r="L173" s="1499"/>
      <c r="M173" s="1499"/>
      <c r="N173" s="1041"/>
      <c r="O173" s="1041"/>
      <c r="P173" s="1041"/>
      <c r="Q173" s="1041"/>
      <c r="R173" s="1499"/>
      <c r="S173" s="1041"/>
      <c r="T173" s="1041"/>
      <c r="U173" s="450"/>
      <c r="V173" s="1041"/>
      <c r="W173" s="1041"/>
      <c r="X173" s="1041"/>
      <c r="Y173" s="1041"/>
      <c r="Z173" s="1041"/>
      <c r="AA173" s="1495"/>
      <c r="AB173" s="472"/>
      <c r="AC173" s="472"/>
      <c r="AD173" s="472"/>
      <c r="AE173" s="472"/>
    </row>
    <row r="174" spans="1:31" s="14431" customFormat="1" ht="11.25" customHeight="1">
      <c r="A174" s="876"/>
      <c r="B174" s="1499"/>
      <c r="C174" s="1499"/>
      <c r="D174" s="267"/>
      <c r="K174" s="1041"/>
      <c r="L174" s="1499"/>
      <c r="M174" s="1499"/>
      <c r="N174" s="1041"/>
      <c r="O174" s="1041"/>
      <c r="P174" s="1041"/>
      <c r="Q174" s="1041"/>
      <c r="R174" s="1499"/>
      <c r="S174" s="1041"/>
      <c r="T174" s="1041"/>
      <c r="U174" s="450"/>
      <c r="V174" s="1041"/>
      <c r="W174" s="1041"/>
      <c r="X174" s="1041"/>
      <c r="Y174" s="1041"/>
      <c r="Z174" s="1041"/>
      <c r="AA174" s="1495"/>
      <c r="AB174" s="472"/>
      <c r="AC174" s="472"/>
      <c r="AD174" s="472"/>
      <c r="AE174" s="472"/>
    </row>
    <row r="175" spans="1:31" s="14431" customFormat="1" ht="11.25" customHeight="1">
      <c r="A175" s="876"/>
      <c r="B175" s="1499"/>
      <c r="C175" s="1499"/>
      <c r="D175" s="267"/>
      <c r="K175" s="1041"/>
      <c r="L175" s="1499"/>
      <c r="M175" s="1499"/>
      <c r="N175" s="1041"/>
      <c r="O175" s="1041"/>
      <c r="P175" s="1041"/>
      <c r="Q175" s="1041"/>
      <c r="R175" s="1499"/>
      <c r="S175" s="1041"/>
      <c r="T175" s="1041"/>
      <c r="U175" s="450"/>
      <c r="V175" s="1041"/>
      <c r="W175" s="1041"/>
      <c r="X175" s="1041"/>
      <c r="Y175" s="1041"/>
      <c r="Z175" s="1041"/>
      <c r="AA175" s="1495"/>
      <c r="AB175" s="472"/>
      <c r="AC175" s="472"/>
      <c r="AD175" s="472"/>
      <c r="AE175" s="472"/>
    </row>
    <row r="176" spans="1:31" s="14431" customFormat="1" ht="11.25" customHeight="1">
      <c r="A176" s="876"/>
      <c r="B176" s="1499"/>
      <c r="C176" s="1499"/>
      <c r="D176" s="267"/>
      <c r="K176" s="1041"/>
      <c r="L176" s="1499"/>
      <c r="M176" s="1499"/>
      <c r="N176" s="1041"/>
      <c r="O176" s="1041"/>
      <c r="P176" s="1041"/>
      <c r="Q176" s="1041"/>
      <c r="R176" s="1499"/>
      <c r="S176" s="1041"/>
      <c r="T176" s="1041"/>
      <c r="U176" s="450"/>
      <c r="V176" s="1041"/>
      <c r="W176" s="1041"/>
      <c r="X176" s="1041"/>
      <c r="Y176" s="1041"/>
      <c r="Z176" s="1041"/>
      <c r="AA176" s="1495"/>
      <c r="AB176" s="472"/>
      <c r="AC176" s="472"/>
      <c r="AD176" s="472"/>
      <c r="AE176" s="472"/>
    </row>
    <row r="177" spans="1:31" s="14431" customFormat="1" ht="11.25" customHeight="1">
      <c r="A177" s="876"/>
      <c r="B177" s="1499"/>
      <c r="C177" s="1499"/>
      <c r="D177" s="267"/>
      <c r="K177" s="1041"/>
      <c r="L177" s="1499"/>
      <c r="M177" s="1499"/>
      <c r="N177" s="1041"/>
      <c r="O177" s="1041"/>
      <c r="P177" s="1041"/>
      <c r="Q177" s="1041"/>
      <c r="R177" s="1499"/>
      <c r="S177" s="1041"/>
      <c r="T177" s="1041"/>
      <c r="U177" s="450"/>
      <c r="V177" s="1041"/>
      <c r="W177" s="1041"/>
      <c r="X177" s="1041"/>
      <c r="Y177" s="1041"/>
      <c r="Z177" s="1041"/>
      <c r="AA177" s="1495"/>
      <c r="AB177" s="472"/>
      <c r="AC177" s="472"/>
      <c r="AD177" s="472"/>
      <c r="AE177" s="472"/>
    </row>
    <row r="178" spans="1:31" s="14431" customFormat="1" ht="11.25" customHeight="1">
      <c r="A178" s="876"/>
      <c r="B178" s="1499"/>
      <c r="C178" s="1499"/>
      <c r="D178" s="267"/>
      <c r="K178" s="1041"/>
      <c r="L178" s="1499"/>
      <c r="M178" s="1499"/>
      <c r="N178" s="1041"/>
      <c r="O178" s="1041"/>
      <c r="P178" s="1041"/>
      <c r="Q178" s="1041"/>
      <c r="R178" s="1499"/>
      <c r="S178" s="1041"/>
      <c r="T178" s="1041"/>
      <c r="U178" s="450"/>
      <c r="V178" s="1041"/>
      <c r="W178" s="1041"/>
      <c r="X178" s="1041"/>
      <c r="Y178" s="1041"/>
      <c r="Z178" s="1041"/>
      <c r="AA178" s="1495"/>
      <c r="AB178" s="472"/>
      <c r="AC178" s="472"/>
      <c r="AD178" s="472"/>
      <c r="AE178" s="472"/>
    </row>
    <row r="179" spans="1:31" s="14431" customFormat="1" ht="11.25" customHeight="1">
      <c r="A179" s="876"/>
      <c r="B179" s="1499"/>
      <c r="C179" s="1499"/>
      <c r="D179" s="267"/>
      <c r="K179" s="1041"/>
      <c r="L179" s="1499"/>
      <c r="M179" s="1499"/>
      <c r="N179" s="1041"/>
      <c r="O179" s="1041"/>
      <c r="P179" s="1041"/>
      <c r="Q179" s="1041"/>
      <c r="R179" s="1499"/>
      <c r="S179" s="1041"/>
      <c r="T179" s="1041"/>
      <c r="U179" s="450"/>
      <c r="V179" s="1041"/>
      <c r="W179" s="1041"/>
      <c r="X179" s="1041"/>
      <c r="Y179" s="1041"/>
      <c r="Z179" s="1041"/>
      <c r="AA179" s="1495"/>
      <c r="AB179" s="472"/>
      <c r="AC179" s="472"/>
      <c r="AD179" s="472"/>
      <c r="AE179" s="472"/>
    </row>
    <row r="180" spans="1:31" s="14431" customFormat="1" ht="11.25" customHeight="1">
      <c r="A180" s="876"/>
      <c r="B180" s="1499"/>
      <c r="C180" s="1499"/>
      <c r="D180" s="267"/>
      <c r="K180" s="1041"/>
      <c r="L180" s="1499"/>
      <c r="M180" s="1499"/>
      <c r="N180" s="1041"/>
      <c r="O180" s="1041"/>
      <c r="P180" s="1041"/>
      <c r="Q180" s="1041"/>
      <c r="R180" s="1499"/>
      <c r="S180" s="1041"/>
      <c r="T180" s="1041"/>
      <c r="U180" s="450"/>
      <c r="V180" s="1041"/>
      <c r="W180" s="1041"/>
      <c r="X180" s="1041"/>
      <c r="Y180" s="1041"/>
      <c r="Z180" s="1041"/>
      <c r="AA180" s="1495"/>
      <c r="AB180" s="472"/>
      <c r="AC180" s="472"/>
      <c r="AD180" s="472"/>
      <c r="AE180" s="472"/>
    </row>
    <row r="181" spans="1:31" s="14431" customFormat="1" ht="11.25" customHeight="1">
      <c r="A181" s="876"/>
      <c r="B181" s="1499"/>
      <c r="C181" s="1499"/>
      <c r="D181" s="267"/>
      <c r="K181" s="1041"/>
      <c r="L181" s="1499"/>
      <c r="M181" s="1499"/>
      <c r="N181" s="1041"/>
      <c r="O181" s="1041"/>
      <c r="P181" s="1041"/>
      <c r="Q181" s="1041"/>
      <c r="R181" s="1499"/>
      <c r="S181" s="1041"/>
      <c r="T181" s="1041"/>
      <c r="U181" s="450"/>
      <c r="V181" s="1041"/>
      <c r="W181" s="1041"/>
      <c r="X181" s="1041"/>
      <c r="Y181" s="1041"/>
      <c r="Z181" s="1041"/>
      <c r="AA181" s="1495"/>
      <c r="AB181" s="472"/>
      <c r="AC181" s="472"/>
      <c r="AD181" s="472"/>
      <c r="AE181" s="472"/>
    </row>
    <row r="182" spans="1:31" s="14431" customFormat="1" ht="11.25" customHeight="1">
      <c r="A182" s="876"/>
      <c r="B182" s="1499"/>
      <c r="C182" s="1499"/>
      <c r="D182" s="267"/>
      <c r="K182" s="1041"/>
      <c r="L182" s="1499"/>
      <c r="M182" s="1499"/>
      <c r="N182" s="1041"/>
      <c r="O182" s="1041"/>
      <c r="P182" s="1041"/>
      <c r="Q182" s="1041"/>
      <c r="R182" s="1499"/>
      <c r="S182" s="1041"/>
      <c r="T182" s="1041"/>
      <c r="U182" s="450"/>
      <c r="V182" s="1041"/>
      <c r="W182" s="1041"/>
      <c r="X182" s="1041"/>
      <c r="Y182" s="1041"/>
      <c r="Z182" s="1041"/>
      <c r="AA182" s="1495"/>
      <c r="AB182" s="472"/>
      <c r="AC182" s="472"/>
      <c r="AD182" s="472"/>
      <c r="AE182" s="472"/>
    </row>
    <row r="183" spans="1:31" s="14431" customFormat="1" ht="11.25" customHeight="1">
      <c r="A183" s="876"/>
      <c r="B183" s="1499"/>
      <c r="C183" s="1499"/>
      <c r="D183" s="267"/>
      <c r="K183" s="1041"/>
      <c r="L183" s="1499"/>
      <c r="M183" s="1499"/>
      <c r="N183" s="1041"/>
      <c r="O183" s="1041"/>
      <c r="P183" s="1041"/>
      <c r="Q183" s="1041"/>
      <c r="R183" s="1499"/>
      <c r="S183" s="1041"/>
      <c r="T183" s="1041"/>
      <c r="U183" s="450"/>
      <c r="V183" s="1041"/>
      <c r="W183" s="1041"/>
      <c r="X183" s="1041"/>
      <c r="Y183" s="1041"/>
      <c r="Z183" s="1041"/>
      <c r="AA183" s="1495"/>
      <c r="AB183" s="472"/>
      <c r="AC183" s="472"/>
      <c r="AD183" s="472"/>
      <c r="AE183" s="472"/>
    </row>
    <row r="184" spans="1:31" s="14431" customFormat="1" ht="11.25" customHeight="1">
      <c r="A184" s="876"/>
      <c r="B184" s="1499"/>
      <c r="C184" s="1499"/>
      <c r="D184" s="267"/>
      <c r="K184" s="1041"/>
      <c r="L184" s="1499"/>
      <c r="M184" s="1499"/>
      <c r="N184" s="1041"/>
      <c r="O184" s="1041"/>
      <c r="P184" s="1041"/>
      <c r="Q184" s="1041"/>
      <c r="R184" s="1499"/>
      <c r="S184" s="1041"/>
      <c r="T184" s="1041"/>
      <c r="U184" s="450"/>
      <c r="V184" s="1041"/>
      <c r="W184" s="1041"/>
      <c r="X184" s="1041"/>
      <c r="Y184" s="1041"/>
      <c r="Z184" s="1041"/>
      <c r="AA184" s="1495"/>
      <c r="AB184" s="472"/>
      <c r="AC184" s="472"/>
      <c r="AD184" s="472"/>
      <c r="AE184" s="472"/>
    </row>
    <row r="185" spans="1:31" s="14431" customFormat="1" ht="11.25" customHeight="1">
      <c r="A185" s="876"/>
      <c r="B185" s="1499"/>
      <c r="C185" s="1499"/>
      <c r="D185" s="267"/>
      <c r="K185" s="1041"/>
      <c r="L185" s="1499"/>
      <c r="M185" s="1499"/>
      <c r="N185" s="1041"/>
      <c r="O185" s="1041"/>
      <c r="P185" s="1041"/>
      <c r="Q185" s="1041"/>
      <c r="R185" s="1499"/>
      <c r="S185" s="1041"/>
      <c r="T185" s="1041"/>
      <c r="U185" s="450"/>
      <c r="V185" s="1041"/>
      <c r="W185" s="1041"/>
      <c r="X185" s="1041"/>
      <c r="Y185" s="1041"/>
      <c r="Z185" s="1041"/>
      <c r="AA185" s="1495"/>
      <c r="AB185" s="472"/>
      <c r="AC185" s="472"/>
      <c r="AD185" s="472"/>
      <c r="AE185" s="472"/>
    </row>
    <row r="186" spans="1:31" s="14431" customFormat="1" ht="11.25" customHeight="1">
      <c r="A186" s="876"/>
      <c r="B186" s="1499"/>
      <c r="C186" s="1499"/>
      <c r="D186" s="267"/>
      <c r="K186" s="1041"/>
      <c r="L186" s="1499"/>
      <c r="M186" s="1499"/>
      <c r="N186" s="1041"/>
      <c r="O186" s="1041"/>
      <c r="P186" s="1041"/>
      <c r="Q186" s="1041"/>
      <c r="R186" s="1499"/>
      <c r="S186" s="1041"/>
      <c r="T186" s="1041"/>
      <c r="U186" s="450"/>
      <c r="V186" s="1041"/>
      <c r="W186" s="1041"/>
      <c r="X186" s="1041"/>
      <c r="Y186" s="1041"/>
      <c r="Z186" s="1041"/>
      <c r="AA186" s="1495"/>
      <c r="AB186" s="472"/>
      <c r="AC186" s="472"/>
      <c r="AD186" s="472"/>
      <c r="AE186" s="472"/>
    </row>
    <row r="187" spans="1:31" s="14431" customFormat="1" ht="11.25" customHeight="1">
      <c r="A187" s="876"/>
      <c r="B187" s="1499"/>
      <c r="C187" s="1499"/>
      <c r="D187" s="267"/>
      <c r="K187" s="1041"/>
      <c r="L187" s="1499"/>
      <c r="M187" s="1499"/>
      <c r="N187" s="1041"/>
      <c r="O187" s="1041"/>
      <c r="P187" s="1041"/>
      <c r="Q187" s="1041"/>
      <c r="R187" s="1499"/>
      <c r="S187" s="1041"/>
      <c r="T187" s="1041"/>
      <c r="U187" s="450"/>
      <c r="V187" s="1041"/>
      <c r="W187" s="1041"/>
      <c r="X187" s="1041"/>
      <c r="Y187" s="1041"/>
      <c r="Z187" s="1041"/>
      <c r="AA187" s="1495"/>
      <c r="AB187" s="472"/>
      <c r="AC187" s="472"/>
      <c r="AD187" s="472"/>
      <c r="AE187" s="472"/>
    </row>
    <row r="188" spans="1:31" s="14431" customFormat="1" ht="11.25" customHeight="1">
      <c r="A188" s="876"/>
      <c r="B188" s="1499"/>
      <c r="C188" s="1499"/>
      <c r="D188" s="267"/>
      <c r="K188" s="1041"/>
      <c r="L188" s="1499"/>
      <c r="M188" s="1499"/>
      <c r="N188" s="1041"/>
      <c r="O188" s="1041"/>
      <c r="P188" s="1041"/>
      <c r="Q188" s="1041"/>
      <c r="R188" s="1499"/>
      <c r="S188" s="1041"/>
      <c r="T188" s="1041"/>
      <c r="U188" s="450"/>
      <c r="V188" s="1041"/>
      <c r="W188" s="1041"/>
      <c r="X188" s="1041"/>
      <c r="Y188" s="1041"/>
      <c r="Z188" s="1041"/>
      <c r="AA188" s="1495"/>
      <c r="AB188" s="472"/>
      <c r="AC188" s="472"/>
      <c r="AD188" s="472"/>
      <c r="AE188" s="472"/>
    </row>
    <row r="189" spans="1:31" s="14431" customFormat="1" ht="11.25" customHeight="1">
      <c r="A189" s="876"/>
      <c r="B189" s="1499"/>
      <c r="C189" s="1499"/>
      <c r="D189" s="267"/>
      <c r="K189" s="1041"/>
      <c r="L189" s="1499"/>
      <c r="M189" s="1499"/>
      <c r="N189" s="1041"/>
      <c r="O189" s="1041"/>
      <c r="P189" s="1041"/>
      <c r="Q189" s="1041"/>
      <c r="R189" s="1499"/>
      <c r="S189" s="1041"/>
      <c r="T189" s="1041"/>
      <c r="U189" s="450"/>
      <c r="V189" s="1041"/>
      <c r="W189" s="1041"/>
      <c r="X189" s="1041"/>
      <c r="Y189" s="1041"/>
      <c r="Z189" s="1041"/>
      <c r="AA189" s="1495"/>
      <c r="AB189" s="472"/>
      <c r="AC189" s="472"/>
      <c r="AD189" s="472"/>
      <c r="AE189" s="472"/>
    </row>
    <row r="190" spans="1:31" s="14431" customFormat="1" ht="11.25" customHeight="1">
      <c r="A190" s="876"/>
      <c r="B190" s="1499"/>
      <c r="C190" s="1499"/>
      <c r="D190" s="267"/>
      <c r="K190" s="1041"/>
      <c r="L190" s="1499"/>
      <c r="M190" s="1499"/>
      <c r="N190" s="1041"/>
      <c r="O190" s="1041"/>
      <c r="P190" s="1041"/>
      <c r="Q190" s="1041"/>
      <c r="R190" s="1499"/>
      <c r="S190" s="1041"/>
      <c r="T190" s="1041"/>
      <c r="U190" s="450"/>
      <c r="V190" s="1041"/>
      <c r="W190" s="1041"/>
      <c r="X190" s="1041"/>
      <c r="Y190" s="1041"/>
      <c r="Z190" s="1041"/>
      <c r="AA190" s="1495"/>
      <c r="AB190" s="472"/>
      <c r="AC190" s="472"/>
      <c r="AD190" s="472"/>
      <c r="AE190" s="472"/>
    </row>
    <row r="191" spans="1:31" s="14431" customFormat="1" ht="11.25" customHeight="1">
      <c r="A191" s="876"/>
      <c r="B191" s="1499"/>
      <c r="C191" s="1499"/>
      <c r="D191" s="267"/>
      <c r="K191" s="1041"/>
      <c r="L191" s="1499"/>
      <c r="M191" s="1499"/>
      <c r="N191" s="1041"/>
      <c r="O191" s="1041"/>
      <c r="P191" s="1041"/>
      <c r="Q191" s="1041"/>
      <c r="R191" s="1499"/>
      <c r="S191" s="1041"/>
      <c r="T191" s="1041"/>
      <c r="U191" s="450"/>
      <c r="V191" s="1041"/>
      <c r="W191" s="1041"/>
      <c r="X191" s="1041"/>
      <c r="Y191" s="1041"/>
      <c r="Z191" s="1041"/>
      <c r="AA191" s="1495"/>
      <c r="AB191" s="472"/>
      <c r="AC191" s="472"/>
      <c r="AD191" s="472"/>
      <c r="AE191" s="472"/>
    </row>
    <row r="192" spans="1:31" s="14431" customFormat="1" ht="11.25" customHeight="1">
      <c r="A192" s="876"/>
      <c r="B192" s="1499"/>
      <c r="C192" s="1499"/>
      <c r="D192" s="267"/>
      <c r="K192" s="1041"/>
      <c r="L192" s="1499"/>
      <c r="M192" s="1499"/>
      <c r="N192" s="1041"/>
      <c r="O192" s="1041"/>
      <c r="P192" s="1041"/>
      <c r="Q192" s="1041"/>
      <c r="R192" s="1499"/>
      <c r="S192" s="1041"/>
      <c r="T192" s="1041"/>
      <c r="U192" s="450"/>
      <c r="V192" s="1041"/>
      <c r="W192" s="1041"/>
      <c r="X192" s="1041"/>
      <c r="Y192" s="1041"/>
      <c r="Z192" s="1041"/>
      <c r="AA192" s="1495"/>
      <c r="AB192" s="472"/>
      <c r="AC192" s="472"/>
      <c r="AD192" s="472"/>
      <c r="AE192" s="472"/>
    </row>
    <row r="193" spans="1:31" s="14431" customFormat="1" ht="11.25" customHeight="1">
      <c r="A193" s="876"/>
      <c r="B193" s="1499"/>
      <c r="C193" s="1499"/>
      <c r="D193" s="267"/>
      <c r="K193" s="1041"/>
      <c r="L193" s="1499"/>
      <c r="M193" s="1499"/>
      <c r="N193" s="1041"/>
      <c r="O193" s="1041"/>
      <c r="P193" s="1041"/>
      <c r="Q193" s="1041"/>
      <c r="R193" s="1499"/>
      <c r="S193" s="1041"/>
      <c r="T193" s="1041"/>
      <c r="U193" s="450"/>
      <c r="V193" s="1041"/>
      <c r="W193" s="1041"/>
      <c r="X193" s="1041"/>
      <c r="Y193" s="1041"/>
      <c r="Z193" s="1041"/>
      <c r="AA193" s="1495"/>
      <c r="AB193" s="472"/>
      <c r="AC193" s="472"/>
      <c r="AD193" s="472"/>
      <c r="AE193" s="472"/>
    </row>
    <row r="194" spans="1:31" s="14431" customFormat="1" ht="11.25" customHeight="1">
      <c r="A194" s="876"/>
      <c r="B194" s="1499"/>
      <c r="C194" s="1499"/>
      <c r="D194" s="267"/>
      <c r="K194" s="1041"/>
      <c r="L194" s="1499"/>
      <c r="M194" s="1499"/>
      <c r="N194" s="1041"/>
      <c r="O194" s="1041"/>
      <c r="P194" s="1041"/>
      <c r="Q194" s="1041"/>
      <c r="R194" s="1499"/>
      <c r="S194" s="1041"/>
      <c r="T194" s="1041"/>
      <c r="U194" s="450"/>
      <c r="V194" s="1041"/>
      <c r="W194" s="1041"/>
      <c r="X194" s="1041"/>
      <c r="Y194" s="1041"/>
      <c r="Z194" s="1041"/>
      <c r="AA194" s="1495"/>
      <c r="AB194" s="472"/>
      <c r="AC194" s="472"/>
      <c r="AD194" s="472"/>
      <c r="AE194" s="472"/>
    </row>
    <row r="195" spans="1:31" s="14431" customFormat="1" ht="11.25" customHeight="1">
      <c r="A195" s="876"/>
      <c r="B195" s="1499"/>
      <c r="C195" s="1499"/>
      <c r="D195" s="267"/>
      <c r="K195" s="1041"/>
      <c r="L195" s="1499"/>
      <c r="M195" s="1499"/>
      <c r="N195" s="1041"/>
      <c r="O195" s="1041"/>
      <c r="P195" s="1041"/>
      <c r="Q195" s="1041"/>
      <c r="R195" s="1499"/>
      <c r="S195" s="1041"/>
      <c r="T195" s="1041"/>
      <c r="U195" s="450"/>
      <c r="V195" s="1041"/>
      <c r="W195" s="1041"/>
      <c r="X195" s="1041"/>
      <c r="Y195" s="1041"/>
      <c r="Z195" s="1041"/>
      <c r="AA195" s="1495"/>
      <c r="AB195" s="472"/>
      <c r="AC195" s="472"/>
      <c r="AD195" s="472"/>
      <c r="AE195" s="472"/>
    </row>
    <row r="196" spans="1:31" s="14431" customFormat="1" ht="11.25" customHeight="1">
      <c r="A196" s="876"/>
      <c r="B196" s="1499"/>
      <c r="C196" s="1499"/>
      <c r="D196" s="267"/>
      <c r="K196" s="1041"/>
      <c r="L196" s="1499"/>
      <c r="M196" s="1499"/>
      <c r="N196" s="1041"/>
      <c r="O196" s="1041"/>
      <c r="P196" s="1041"/>
      <c r="Q196" s="1041"/>
      <c r="R196" s="1499"/>
      <c r="S196" s="1041"/>
      <c r="T196" s="1041"/>
      <c r="U196" s="450"/>
      <c r="V196" s="1041"/>
      <c r="W196" s="1041"/>
      <c r="X196" s="1041"/>
      <c r="Y196" s="1041"/>
      <c r="Z196" s="1041"/>
      <c r="AA196" s="1495"/>
      <c r="AB196" s="472"/>
      <c r="AC196" s="472"/>
      <c r="AD196" s="472"/>
      <c r="AE196" s="472"/>
    </row>
    <row r="197" spans="1:31" s="14431" customFormat="1" ht="11.25" customHeight="1">
      <c r="A197" s="876"/>
      <c r="B197" s="1499"/>
      <c r="C197" s="1499"/>
      <c r="D197" s="267"/>
      <c r="K197" s="1041"/>
      <c r="L197" s="1499"/>
      <c r="M197" s="1499"/>
      <c r="N197" s="1041"/>
      <c r="O197" s="1041"/>
      <c r="P197" s="1041"/>
      <c r="Q197" s="1041"/>
      <c r="R197" s="1499"/>
      <c r="S197" s="1041"/>
      <c r="T197" s="1041"/>
      <c r="U197" s="450"/>
      <c r="V197" s="1041"/>
      <c r="W197" s="1041"/>
      <c r="X197" s="1041"/>
      <c r="Y197" s="1041"/>
      <c r="Z197" s="1041"/>
      <c r="AA197" s="1495"/>
      <c r="AB197" s="472"/>
      <c r="AC197" s="472"/>
      <c r="AD197" s="472"/>
      <c r="AE197" s="472"/>
    </row>
    <row r="198" spans="1:31" s="14431" customFormat="1" ht="11.25" customHeight="1">
      <c r="A198" s="876"/>
      <c r="B198" s="1499"/>
      <c r="C198" s="1499"/>
      <c r="D198" s="267"/>
      <c r="K198" s="1041"/>
      <c r="L198" s="1499"/>
      <c r="M198" s="1499"/>
      <c r="N198" s="1041"/>
      <c r="O198" s="1041"/>
      <c r="P198" s="1041"/>
      <c r="Q198" s="1041"/>
      <c r="R198" s="1499"/>
      <c r="S198" s="1041"/>
      <c r="T198" s="1041"/>
      <c r="U198" s="450"/>
      <c r="V198" s="1041"/>
      <c r="W198" s="1041"/>
      <c r="X198" s="1041"/>
      <c r="Y198" s="1041"/>
      <c r="Z198" s="1041"/>
      <c r="AA198" s="1495"/>
      <c r="AB198" s="472"/>
      <c r="AC198" s="472"/>
      <c r="AD198" s="472"/>
      <c r="AE198" s="472"/>
    </row>
    <row r="199" spans="1:31" s="14431" customFormat="1" ht="11.25" customHeight="1">
      <c r="A199" s="876"/>
      <c r="B199" s="1499"/>
      <c r="C199" s="1499"/>
      <c r="D199" s="267"/>
      <c r="K199" s="1041"/>
      <c r="L199" s="1499"/>
      <c r="M199" s="1499"/>
      <c r="N199" s="1041"/>
      <c r="O199" s="1041"/>
      <c r="P199" s="1041"/>
      <c r="Q199" s="1041"/>
      <c r="R199" s="1499"/>
      <c r="S199" s="1041"/>
      <c r="T199" s="1041"/>
      <c r="U199" s="450"/>
      <c r="V199" s="1041"/>
      <c r="W199" s="1041"/>
      <c r="X199" s="1041"/>
      <c r="Y199" s="1041"/>
      <c r="Z199" s="1041"/>
      <c r="AA199" s="1495"/>
      <c r="AB199" s="472"/>
      <c r="AC199" s="472"/>
      <c r="AD199" s="472"/>
      <c r="AE199" s="472"/>
    </row>
    <row r="200" spans="1:31" s="14431" customFormat="1" ht="11.25" customHeight="1">
      <c r="A200" s="876"/>
      <c r="B200" s="1499"/>
      <c r="C200" s="1499"/>
      <c r="D200" s="267"/>
      <c r="K200" s="1041"/>
      <c r="L200" s="1499"/>
      <c r="M200" s="1499"/>
      <c r="N200" s="1041"/>
      <c r="O200" s="1041"/>
      <c r="P200" s="1041"/>
      <c r="Q200" s="1041"/>
      <c r="R200" s="1499"/>
      <c r="S200" s="1041"/>
      <c r="T200" s="1041"/>
      <c r="U200" s="450"/>
      <c r="V200" s="1041"/>
      <c r="W200" s="1041"/>
      <c r="X200" s="1041"/>
      <c r="Y200" s="1041"/>
      <c r="Z200" s="1041"/>
      <c r="AA200" s="1495"/>
      <c r="AB200" s="472"/>
      <c r="AC200" s="472"/>
      <c r="AD200" s="472"/>
      <c r="AE200" s="472"/>
    </row>
    <row r="201" spans="1:31" s="14431" customFormat="1" ht="11.25" customHeight="1">
      <c r="A201" s="876"/>
      <c r="B201" s="1499"/>
      <c r="C201" s="1499"/>
      <c r="D201" s="267"/>
      <c r="K201" s="1041"/>
      <c r="L201" s="1499"/>
      <c r="M201" s="1499"/>
      <c r="N201" s="1041"/>
      <c r="O201" s="1041"/>
      <c r="P201" s="1041"/>
      <c r="Q201" s="1041"/>
      <c r="R201" s="1499"/>
      <c r="S201" s="1041"/>
      <c r="T201" s="1041"/>
      <c r="U201" s="450"/>
      <c r="V201" s="1041"/>
      <c r="W201" s="1041"/>
      <c r="X201" s="1041"/>
      <c r="Y201" s="1041"/>
      <c r="Z201" s="1041"/>
      <c r="AA201" s="1495"/>
      <c r="AB201" s="472"/>
      <c r="AC201" s="472"/>
      <c r="AD201" s="472"/>
      <c r="AE201" s="472"/>
    </row>
    <row r="202" spans="1:31" s="14431" customFormat="1" ht="11.25" customHeight="1">
      <c r="A202" s="876"/>
      <c r="B202" s="1499"/>
      <c r="C202" s="1499"/>
      <c r="D202" s="267"/>
      <c r="K202" s="1041"/>
      <c r="L202" s="1499"/>
      <c r="M202" s="1499"/>
      <c r="N202" s="1041"/>
      <c r="O202" s="1041"/>
      <c r="P202" s="1041"/>
      <c r="Q202" s="1041"/>
      <c r="R202" s="1499"/>
      <c r="S202" s="1041"/>
      <c r="T202" s="1041"/>
      <c r="U202" s="450"/>
      <c r="V202" s="1041"/>
      <c r="W202" s="1041"/>
      <c r="X202" s="1041"/>
      <c r="Y202" s="1041"/>
      <c r="Z202" s="1041"/>
      <c r="AA202" s="1495"/>
      <c r="AB202" s="472"/>
      <c r="AC202" s="472"/>
      <c r="AD202" s="472"/>
      <c r="AE202" s="472"/>
    </row>
    <row r="203" spans="1:31" s="14431" customFormat="1" ht="11.25" customHeight="1">
      <c r="A203" s="876"/>
      <c r="B203" s="1499"/>
      <c r="C203" s="1499"/>
      <c r="D203" s="267"/>
      <c r="K203" s="1041"/>
      <c r="L203" s="1499"/>
      <c r="M203" s="1499"/>
      <c r="N203" s="1041"/>
      <c r="O203" s="1041"/>
      <c r="P203" s="1041"/>
      <c r="Q203" s="1041"/>
      <c r="R203" s="1499"/>
      <c r="S203" s="1041"/>
      <c r="T203" s="1041"/>
      <c r="U203" s="450"/>
      <c r="V203" s="1041"/>
      <c r="W203" s="1041"/>
      <c r="X203" s="1041"/>
      <c r="Y203" s="1041"/>
      <c r="Z203" s="1041"/>
      <c r="AA203" s="1495"/>
      <c r="AB203" s="472"/>
      <c r="AC203" s="472"/>
      <c r="AD203" s="472"/>
      <c r="AE203" s="472"/>
    </row>
    <row r="204" spans="1:31" s="14431" customFormat="1" ht="11.25" customHeight="1">
      <c r="A204" s="876"/>
      <c r="B204" s="1499"/>
      <c r="C204" s="1499"/>
      <c r="D204" s="267"/>
      <c r="K204" s="1041"/>
      <c r="L204" s="1499"/>
      <c r="M204" s="1499"/>
      <c r="N204" s="1041"/>
      <c r="O204" s="1041"/>
      <c r="P204" s="1041"/>
      <c r="Q204" s="1041"/>
      <c r="R204" s="1499"/>
      <c r="S204" s="1041"/>
      <c r="T204" s="1041"/>
      <c r="U204" s="450"/>
      <c r="V204" s="1041"/>
      <c r="W204" s="1041"/>
      <c r="X204" s="1041"/>
      <c r="Y204" s="1041"/>
      <c r="Z204" s="1041"/>
      <c r="AA204" s="1495"/>
      <c r="AB204" s="472"/>
      <c r="AC204" s="472"/>
      <c r="AD204" s="472"/>
      <c r="AE204" s="472"/>
    </row>
    <row r="205" spans="1:31" s="14431" customFormat="1" ht="11.25" customHeight="1">
      <c r="A205" s="876"/>
      <c r="B205" s="1499"/>
      <c r="C205" s="1499"/>
      <c r="D205" s="267"/>
      <c r="K205" s="1041"/>
      <c r="L205" s="1499"/>
      <c r="M205" s="1499"/>
      <c r="N205" s="1041"/>
      <c r="O205" s="1041"/>
      <c r="P205" s="1041"/>
      <c r="Q205" s="1041"/>
      <c r="R205" s="1499"/>
      <c r="S205" s="1041"/>
      <c r="T205" s="1041"/>
      <c r="U205" s="450"/>
      <c r="V205" s="1041"/>
      <c r="W205" s="1041"/>
      <c r="X205" s="1041"/>
      <c r="Y205" s="1041"/>
      <c r="Z205" s="1041"/>
      <c r="AA205" s="1495"/>
      <c r="AB205" s="472"/>
      <c r="AC205" s="472"/>
      <c r="AD205" s="472"/>
      <c r="AE205" s="472"/>
    </row>
    <row r="206" spans="1:31" s="14431" customFormat="1" ht="11.25" customHeight="1">
      <c r="A206" s="876"/>
      <c r="B206" s="1499"/>
      <c r="C206" s="1499"/>
      <c r="D206" s="267"/>
      <c r="K206" s="1041"/>
      <c r="L206" s="1499"/>
      <c r="M206" s="1499"/>
      <c r="N206" s="1041"/>
      <c r="O206" s="1041"/>
      <c r="P206" s="1041"/>
      <c r="Q206" s="1041"/>
      <c r="R206" s="1499"/>
      <c r="S206" s="1041"/>
      <c r="T206" s="1041"/>
      <c r="U206" s="450"/>
      <c r="V206" s="1041"/>
      <c r="W206" s="1041"/>
      <c r="X206" s="1041"/>
      <c r="Y206" s="1041"/>
      <c r="Z206" s="1041"/>
      <c r="AA206" s="1495"/>
      <c r="AB206" s="472"/>
      <c r="AC206" s="472"/>
      <c r="AD206" s="472"/>
      <c r="AE206" s="472"/>
    </row>
    <row r="207" spans="1:31" s="14431" customFormat="1" ht="11.25" customHeight="1">
      <c r="A207" s="876"/>
      <c r="B207" s="1499"/>
      <c r="C207" s="1499"/>
      <c r="D207" s="267"/>
      <c r="K207" s="1041"/>
      <c r="L207" s="1499"/>
      <c r="M207" s="1499"/>
      <c r="N207" s="1041"/>
      <c r="O207" s="1041"/>
      <c r="P207" s="1041"/>
      <c r="Q207" s="1041"/>
      <c r="R207" s="1499"/>
      <c r="S207" s="1041"/>
      <c r="T207" s="1041"/>
      <c r="U207" s="450"/>
      <c r="V207" s="1041"/>
      <c r="W207" s="1041"/>
      <c r="X207" s="1041"/>
      <c r="Y207" s="1041"/>
      <c r="Z207" s="1041"/>
      <c r="AA207" s="1495"/>
      <c r="AB207" s="472"/>
      <c r="AC207" s="472"/>
      <c r="AD207" s="472"/>
      <c r="AE207" s="472"/>
    </row>
    <row r="208" spans="1:31" s="14431" customFormat="1" ht="11.25" customHeight="1">
      <c r="A208" s="876"/>
      <c r="B208" s="1499"/>
      <c r="C208" s="1499"/>
      <c r="D208" s="267"/>
      <c r="K208" s="1041"/>
      <c r="L208" s="1499"/>
      <c r="M208" s="1499"/>
      <c r="N208" s="1041"/>
      <c r="O208" s="1041"/>
      <c r="P208" s="1041"/>
      <c r="Q208" s="1041"/>
      <c r="R208" s="1499"/>
      <c r="S208" s="1041"/>
      <c r="T208" s="1041"/>
      <c r="U208" s="450"/>
      <c r="V208" s="1041"/>
      <c r="W208" s="1041"/>
      <c r="X208" s="1041"/>
      <c r="Y208" s="1041"/>
      <c r="Z208" s="1041"/>
      <c r="AA208" s="1495"/>
      <c r="AB208" s="472"/>
      <c r="AC208" s="472"/>
      <c r="AD208" s="472"/>
      <c r="AE208" s="472"/>
    </row>
    <row r="209" spans="1:31" s="14431" customFormat="1" ht="11.25" customHeight="1">
      <c r="A209" s="876"/>
      <c r="B209" s="1499"/>
      <c r="C209" s="1499"/>
      <c r="D209" s="267"/>
      <c r="K209" s="1041"/>
      <c r="L209" s="1499"/>
      <c r="M209" s="1499"/>
      <c r="N209" s="1041"/>
      <c r="O209" s="1041"/>
      <c r="P209" s="1041"/>
      <c r="Q209" s="1041"/>
      <c r="R209" s="1499"/>
      <c r="S209" s="1041"/>
      <c r="T209" s="1041"/>
      <c r="U209" s="450"/>
      <c r="V209" s="1041"/>
      <c r="W209" s="1041"/>
      <c r="X209" s="1041"/>
      <c r="Y209" s="1041"/>
      <c r="Z209" s="1041"/>
      <c r="AA209" s="1495"/>
      <c r="AB209" s="472"/>
      <c r="AC209" s="472"/>
      <c r="AD209" s="472"/>
      <c r="AE209" s="472"/>
    </row>
    <row r="210" spans="1:31" s="14431" customFormat="1" ht="11.25" customHeight="1">
      <c r="A210" s="876"/>
      <c r="B210" s="1499"/>
      <c r="C210" s="1499"/>
      <c r="D210" s="267"/>
      <c r="K210" s="1041"/>
      <c r="L210" s="1499"/>
      <c r="M210" s="1499"/>
      <c r="N210" s="1041"/>
      <c r="O210" s="1041"/>
      <c r="P210" s="1041"/>
      <c r="Q210" s="1041"/>
      <c r="R210" s="1499"/>
      <c r="S210" s="1041"/>
      <c r="T210" s="1041"/>
      <c r="U210" s="450"/>
      <c r="V210" s="1041"/>
      <c r="W210" s="1041"/>
      <c r="X210" s="1041"/>
      <c r="Y210" s="1041"/>
      <c r="Z210" s="1041"/>
      <c r="AA210" s="1495"/>
      <c r="AB210" s="472"/>
      <c r="AC210" s="472"/>
      <c r="AD210" s="472"/>
      <c r="AE210" s="472"/>
    </row>
    <row r="211" spans="1:31" s="14431" customFormat="1" ht="11.25" customHeight="1">
      <c r="A211" s="876"/>
      <c r="B211" s="1499"/>
      <c r="C211" s="1499"/>
      <c r="D211" s="267"/>
      <c r="K211" s="1041"/>
      <c r="L211" s="1499"/>
      <c r="M211" s="1499"/>
      <c r="N211" s="1041"/>
      <c r="O211" s="1041"/>
      <c r="P211" s="1041"/>
      <c r="Q211" s="1041"/>
      <c r="R211" s="1499"/>
      <c r="S211" s="1041"/>
      <c r="T211" s="1041"/>
      <c r="U211" s="450"/>
      <c r="V211" s="1041"/>
      <c r="W211" s="1041"/>
      <c r="X211" s="1041"/>
      <c r="Y211" s="1041"/>
      <c r="Z211" s="1041"/>
      <c r="AA211" s="1495"/>
      <c r="AB211" s="472"/>
      <c r="AC211" s="472"/>
      <c r="AD211" s="472"/>
      <c r="AE211" s="472"/>
    </row>
    <row r="212" spans="1:31" s="14431" customFormat="1" ht="11.25" customHeight="1">
      <c r="A212" s="876"/>
      <c r="B212" s="1499"/>
      <c r="C212" s="1499"/>
      <c r="D212" s="267"/>
      <c r="K212" s="1041"/>
      <c r="L212" s="1499"/>
      <c r="M212" s="1499"/>
      <c r="N212" s="1041"/>
      <c r="O212" s="1041"/>
      <c r="P212" s="1041"/>
      <c r="Q212" s="1041"/>
      <c r="R212" s="1499"/>
      <c r="S212" s="1041"/>
      <c r="T212" s="1041"/>
      <c r="U212" s="450"/>
      <c r="V212" s="1041"/>
      <c r="W212" s="1041"/>
      <c r="X212" s="1041"/>
      <c r="Y212" s="1041"/>
      <c r="Z212" s="1041"/>
      <c r="AA212" s="1495"/>
      <c r="AB212" s="472"/>
      <c r="AC212" s="472"/>
      <c r="AD212" s="472"/>
      <c r="AE212" s="472"/>
    </row>
    <row r="213" spans="1:31" s="14431" customFormat="1" ht="11.25" customHeight="1">
      <c r="A213" s="876"/>
      <c r="B213" s="1499"/>
      <c r="C213" s="1499"/>
      <c r="D213" s="267"/>
      <c r="K213" s="1041"/>
      <c r="L213" s="1499"/>
      <c r="M213" s="1499"/>
      <c r="N213" s="1041"/>
      <c r="O213" s="1041"/>
      <c r="P213" s="1041"/>
      <c r="Q213" s="1041"/>
      <c r="R213" s="1499"/>
      <c r="S213" s="1041"/>
      <c r="T213" s="1041"/>
      <c r="U213" s="450"/>
      <c r="V213" s="1041"/>
      <c r="W213" s="1041"/>
      <c r="X213" s="1041"/>
      <c r="Y213" s="1041"/>
      <c r="Z213" s="1041"/>
      <c r="AA213" s="1495"/>
      <c r="AB213" s="472"/>
      <c r="AC213" s="472"/>
      <c r="AD213" s="472"/>
      <c r="AE213" s="472"/>
    </row>
    <row r="214" spans="1:31" s="14431" customFormat="1" ht="11.25" customHeight="1">
      <c r="A214" s="876"/>
      <c r="B214" s="1499"/>
      <c r="C214" s="1499"/>
      <c r="D214" s="267"/>
      <c r="K214" s="1041"/>
      <c r="L214" s="1499"/>
      <c r="M214" s="1499"/>
      <c r="N214" s="1041"/>
      <c r="O214" s="1041"/>
      <c r="P214" s="1041"/>
      <c r="Q214" s="1041"/>
      <c r="R214" s="1499"/>
      <c r="S214" s="1041"/>
      <c r="T214" s="1041"/>
      <c r="U214" s="450"/>
      <c r="V214" s="1041"/>
      <c r="W214" s="1041"/>
      <c r="X214" s="1041"/>
      <c r="Y214" s="1041"/>
      <c r="Z214" s="1041"/>
      <c r="AA214" s="1495"/>
      <c r="AB214" s="472"/>
      <c r="AC214" s="472"/>
      <c r="AD214" s="472"/>
      <c r="AE214" s="472"/>
    </row>
    <row r="215" spans="1:31" s="14431" customFormat="1" ht="11.25" customHeight="1">
      <c r="A215" s="876"/>
      <c r="B215" s="1499"/>
      <c r="C215" s="1499"/>
      <c r="D215" s="267"/>
      <c r="K215" s="1041"/>
      <c r="L215" s="1499"/>
      <c r="M215" s="1499"/>
      <c r="N215" s="1041"/>
      <c r="O215" s="1041"/>
      <c r="P215" s="1041"/>
      <c r="Q215" s="1041"/>
      <c r="R215" s="1499"/>
      <c r="S215" s="1041"/>
      <c r="T215" s="1041"/>
      <c r="U215" s="450"/>
      <c r="V215" s="1041"/>
      <c r="W215" s="1041"/>
      <c r="X215" s="1041"/>
      <c r="Y215" s="1041"/>
      <c r="Z215" s="1041"/>
      <c r="AA215" s="1495"/>
      <c r="AB215" s="472"/>
      <c r="AC215" s="472"/>
      <c r="AD215" s="472"/>
      <c r="AE215" s="472"/>
    </row>
    <row r="216" spans="1:31" s="14431" customFormat="1" ht="11.25" customHeight="1">
      <c r="A216" s="876"/>
      <c r="B216" s="1499"/>
      <c r="C216" s="1499"/>
      <c r="D216" s="267"/>
      <c r="K216" s="1041"/>
      <c r="L216" s="1499"/>
      <c r="M216" s="1499"/>
      <c r="N216" s="1041"/>
      <c r="O216" s="1041"/>
      <c r="P216" s="1041"/>
      <c r="Q216" s="1041"/>
      <c r="R216" s="1499"/>
      <c r="S216" s="1041"/>
      <c r="T216" s="1041"/>
      <c r="U216" s="450"/>
      <c r="V216" s="1041"/>
      <c r="W216" s="1041"/>
      <c r="X216" s="1041"/>
      <c r="Y216" s="1041"/>
      <c r="Z216" s="1041"/>
      <c r="AA216" s="1495"/>
      <c r="AB216" s="472"/>
      <c r="AC216" s="472"/>
      <c r="AD216" s="472"/>
      <c r="AE216" s="472"/>
    </row>
    <row r="217" spans="1:31" s="14431" customFormat="1" ht="11.25" customHeight="1">
      <c r="A217" s="876"/>
      <c r="B217" s="1499"/>
      <c r="C217" s="1499"/>
      <c r="D217" s="267"/>
      <c r="K217" s="1041"/>
      <c r="L217" s="1499"/>
      <c r="M217" s="1499"/>
      <c r="N217" s="1041"/>
      <c r="O217" s="1041"/>
      <c r="P217" s="1041"/>
      <c r="Q217" s="1041"/>
      <c r="R217" s="1499"/>
      <c r="S217" s="1041"/>
      <c r="T217" s="1041"/>
      <c r="U217" s="450"/>
      <c r="V217" s="1041"/>
      <c r="W217" s="1041"/>
      <c r="X217" s="1041"/>
      <c r="Y217" s="1041"/>
      <c r="Z217" s="1041"/>
      <c r="AA217" s="1495"/>
      <c r="AB217" s="472"/>
      <c r="AC217" s="472"/>
      <c r="AD217" s="472"/>
      <c r="AE217" s="472"/>
    </row>
    <row r="218" spans="1:31" s="14431" customFormat="1" ht="11.25" customHeight="1">
      <c r="A218" s="876"/>
      <c r="B218" s="1499"/>
      <c r="C218" s="1499"/>
      <c r="D218" s="267"/>
      <c r="K218" s="1041"/>
      <c r="L218" s="1499"/>
      <c r="M218" s="1499"/>
      <c r="N218" s="1041"/>
      <c r="O218" s="1041"/>
      <c r="P218" s="1041"/>
      <c r="Q218" s="1041"/>
      <c r="R218" s="1499"/>
      <c r="S218" s="1041"/>
      <c r="T218" s="1041"/>
      <c r="U218" s="450"/>
      <c r="V218" s="1041"/>
      <c r="W218" s="1041"/>
      <c r="X218" s="1041"/>
      <c r="Y218" s="1041"/>
      <c r="Z218" s="1041"/>
      <c r="AA218" s="1495"/>
      <c r="AB218" s="472"/>
      <c r="AC218" s="472"/>
      <c r="AD218" s="472"/>
      <c r="AE218" s="472"/>
    </row>
    <row r="219" spans="1:31" s="14431" customFormat="1" ht="11.25" customHeight="1">
      <c r="A219" s="876"/>
      <c r="B219" s="1499"/>
      <c r="C219" s="1499"/>
      <c r="D219" s="267"/>
      <c r="K219" s="1041"/>
      <c r="L219" s="1499"/>
      <c r="M219" s="1499"/>
      <c r="N219" s="1041"/>
      <c r="O219" s="1041"/>
      <c r="P219" s="1041"/>
      <c r="Q219" s="1041"/>
      <c r="R219" s="1499"/>
      <c r="S219" s="1041"/>
      <c r="T219" s="1041"/>
      <c r="U219" s="450"/>
      <c r="V219" s="1041"/>
      <c r="W219" s="1041"/>
      <c r="X219" s="1041"/>
      <c r="Y219" s="1041"/>
      <c r="Z219" s="1041"/>
      <c r="AA219" s="1495"/>
      <c r="AB219" s="472"/>
      <c r="AC219" s="472"/>
      <c r="AD219" s="472"/>
      <c r="AE219" s="472"/>
    </row>
    <row r="220" spans="1:31" s="14431" customFormat="1" ht="11.25" customHeight="1">
      <c r="A220" s="876"/>
      <c r="B220" s="1499"/>
      <c r="C220" s="1499"/>
      <c r="D220" s="267"/>
      <c r="K220" s="1041"/>
      <c r="L220" s="1499"/>
      <c r="M220" s="1499"/>
      <c r="N220" s="1041"/>
      <c r="O220" s="1041"/>
      <c r="P220" s="1041"/>
      <c r="Q220" s="1041"/>
      <c r="R220" s="1499"/>
      <c r="S220" s="1041"/>
      <c r="T220" s="1041"/>
      <c r="U220" s="450"/>
      <c r="V220" s="1041"/>
      <c r="W220" s="1041"/>
      <c r="X220" s="1041"/>
      <c r="Y220" s="1041"/>
      <c r="Z220" s="1041"/>
      <c r="AA220" s="1495"/>
      <c r="AB220" s="472"/>
      <c r="AC220" s="472"/>
      <c r="AD220" s="472"/>
      <c r="AE220" s="472"/>
    </row>
    <row r="221" spans="1:31" s="14431" customFormat="1" ht="11.25" customHeight="1">
      <c r="A221" s="876"/>
      <c r="B221" s="1499"/>
      <c r="C221" s="1499"/>
      <c r="D221" s="267"/>
      <c r="K221" s="1041"/>
      <c r="L221" s="1499"/>
      <c r="M221" s="1499"/>
      <c r="N221" s="1041"/>
      <c r="O221" s="1041"/>
      <c r="P221" s="1041"/>
      <c r="Q221" s="1041"/>
      <c r="R221" s="1499"/>
      <c r="S221" s="1041"/>
      <c r="T221" s="1041"/>
      <c r="U221" s="450"/>
      <c r="V221" s="1041"/>
      <c r="W221" s="1041"/>
      <c r="X221" s="1041"/>
      <c r="Y221" s="1041"/>
      <c r="Z221" s="1041"/>
      <c r="AA221" s="1495"/>
      <c r="AB221" s="472"/>
      <c r="AC221" s="472"/>
      <c r="AD221" s="472"/>
      <c r="AE221" s="472"/>
    </row>
    <row r="222" spans="1:31" s="14431" customFormat="1" ht="11.25" customHeight="1">
      <c r="A222" s="876"/>
      <c r="B222" s="1499"/>
      <c r="C222" s="1499"/>
      <c r="D222" s="267"/>
      <c r="K222" s="1041"/>
      <c r="L222" s="1499"/>
      <c r="M222" s="1499"/>
      <c r="N222" s="1041"/>
      <c r="O222" s="1041"/>
      <c r="P222" s="1041"/>
      <c r="Q222" s="1041"/>
      <c r="R222" s="1499"/>
      <c r="S222" s="1041"/>
      <c r="T222" s="1041"/>
      <c r="U222" s="450"/>
      <c r="V222" s="1041"/>
      <c r="W222" s="1041"/>
      <c r="X222" s="1041"/>
      <c r="Y222" s="1041"/>
      <c r="Z222" s="1041"/>
      <c r="AA222" s="1495"/>
      <c r="AB222" s="472"/>
      <c r="AC222" s="472"/>
      <c r="AD222" s="472"/>
      <c r="AE222" s="472"/>
    </row>
    <row r="223" spans="1:31" s="14431" customFormat="1" ht="11.25" customHeight="1">
      <c r="A223" s="876"/>
      <c r="B223" s="1499"/>
      <c r="C223" s="1499"/>
      <c r="D223" s="267"/>
      <c r="K223" s="1041"/>
      <c r="L223" s="1499"/>
      <c r="M223" s="1499"/>
      <c r="N223" s="1041"/>
      <c r="O223" s="1041"/>
      <c r="P223" s="1041"/>
      <c r="Q223" s="1041"/>
      <c r="R223" s="1499"/>
      <c r="S223" s="1041"/>
      <c r="T223" s="1041"/>
      <c r="U223" s="450"/>
      <c r="V223" s="1041"/>
      <c r="W223" s="1041"/>
      <c r="X223" s="1041"/>
      <c r="Y223" s="1041"/>
      <c r="Z223" s="1041"/>
      <c r="AA223" s="1495"/>
      <c r="AB223" s="472"/>
      <c r="AC223" s="472"/>
      <c r="AD223" s="472"/>
      <c r="AE223" s="472"/>
    </row>
    <row r="224" spans="1:31" s="14431" customFormat="1" ht="11.25" customHeight="1">
      <c r="A224" s="876"/>
      <c r="B224" s="1499"/>
      <c r="C224" s="1499"/>
      <c r="D224" s="267"/>
      <c r="K224" s="1041"/>
      <c r="L224" s="1499"/>
      <c r="M224" s="1499"/>
      <c r="N224" s="1041"/>
      <c r="O224" s="1041"/>
      <c r="P224" s="1041"/>
      <c r="Q224" s="1041"/>
      <c r="R224" s="1499"/>
      <c r="S224" s="1041"/>
      <c r="T224" s="1041"/>
      <c r="U224" s="450"/>
      <c r="V224" s="1041"/>
      <c r="W224" s="1041"/>
      <c r="X224" s="1041"/>
      <c r="Y224" s="1041"/>
      <c r="Z224" s="1041"/>
      <c r="AA224" s="1495"/>
      <c r="AB224" s="472"/>
      <c r="AC224" s="472"/>
      <c r="AD224" s="472"/>
      <c r="AE224" s="472"/>
    </row>
    <row r="225" spans="1:31" s="14431" customFormat="1" ht="11.25" customHeight="1">
      <c r="A225" s="876"/>
      <c r="B225" s="1499"/>
      <c r="C225" s="1499"/>
      <c r="D225" s="267"/>
      <c r="K225" s="1041"/>
      <c r="L225" s="1499"/>
      <c r="M225" s="1499"/>
      <c r="N225" s="1041"/>
      <c r="O225" s="1041"/>
      <c r="P225" s="1041"/>
      <c r="Q225" s="1041"/>
      <c r="R225" s="1499"/>
      <c r="S225" s="1041"/>
      <c r="T225" s="1041"/>
      <c r="U225" s="450"/>
      <c r="V225" s="1041"/>
      <c r="W225" s="1041"/>
      <c r="X225" s="1041"/>
      <c r="Y225" s="1041"/>
      <c r="Z225" s="1041"/>
      <c r="AA225" s="1495"/>
      <c r="AB225" s="472"/>
      <c r="AC225" s="472"/>
      <c r="AD225" s="472"/>
      <c r="AE225" s="472"/>
    </row>
    <row r="226" spans="1:31" s="14431" customFormat="1" ht="11.25" customHeight="1">
      <c r="A226" s="876"/>
      <c r="B226" s="1499"/>
      <c r="C226" s="1499"/>
      <c r="D226" s="267"/>
      <c r="K226" s="1041"/>
      <c r="L226" s="1499"/>
      <c r="M226" s="1499"/>
      <c r="N226" s="1041"/>
      <c r="O226" s="1041"/>
      <c r="P226" s="1041"/>
      <c r="Q226" s="1041"/>
      <c r="R226" s="1499"/>
      <c r="S226" s="1041"/>
      <c r="T226" s="1041"/>
      <c r="U226" s="450"/>
      <c r="V226" s="1041"/>
      <c r="W226" s="1041"/>
      <c r="X226" s="1041"/>
      <c r="Y226" s="1041"/>
      <c r="Z226" s="1041"/>
      <c r="AA226" s="1495"/>
      <c r="AB226" s="472"/>
      <c r="AC226" s="472"/>
      <c r="AD226" s="472"/>
      <c r="AE226" s="472"/>
    </row>
    <row r="227" spans="1:31" s="14431" customFormat="1" ht="11.25" customHeight="1">
      <c r="A227" s="876"/>
      <c r="B227" s="1499"/>
      <c r="C227" s="1499"/>
      <c r="D227" s="267"/>
      <c r="K227" s="1041"/>
      <c r="L227" s="1499"/>
      <c r="M227" s="1499"/>
      <c r="N227" s="1041"/>
      <c r="O227" s="1041"/>
      <c r="P227" s="1041"/>
      <c r="Q227" s="1041"/>
      <c r="R227" s="1499"/>
      <c r="S227" s="1041"/>
      <c r="T227" s="1041"/>
      <c r="U227" s="450"/>
      <c r="V227" s="1041"/>
      <c r="W227" s="1041"/>
      <c r="X227" s="1041"/>
      <c r="Y227" s="1041"/>
      <c r="Z227" s="1041"/>
      <c r="AA227" s="1495"/>
      <c r="AB227" s="472"/>
      <c r="AC227" s="472"/>
      <c r="AD227" s="472"/>
      <c r="AE227" s="472"/>
    </row>
    <row r="228" spans="1:31" s="14431" customFormat="1" ht="11.25" customHeight="1">
      <c r="A228" s="876"/>
      <c r="B228" s="1499"/>
      <c r="C228" s="1499"/>
      <c r="D228" s="267"/>
      <c r="K228" s="1041"/>
      <c r="L228" s="1499"/>
      <c r="M228" s="1499"/>
      <c r="N228" s="1041"/>
      <c r="O228" s="1041"/>
      <c r="P228" s="1041"/>
      <c r="Q228" s="1041"/>
      <c r="R228" s="1499"/>
      <c r="S228" s="1041"/>
      <c r="T228" s="1041"/>
      <c r="U228" s="450"/>
      <c r="V228" s="1041"/>
      <c r="W228" s="1041"/>
      <c r="X228" s="1041"/>
      <c r="Y228" s="1041"/>
      <c r="Z228" s="1041"/>
      <c r="AA228" s="1495"/>
      <c r="AB228" s="472"/>
      <c r="AC228" s="472"/>
      <c r="AD228" s="472"/>
      <c r="AE228" s="472"/>
    </row>
    <row r="229" spans="1:31" s="14431" customFormat="1" ht="11.25" customHeight="1">
      <c r="A229" s="876"/>
      <c r="B229" s="1499"/>
      <c r="C229" s="1499"/>
      <c r="D229" s="267"/>
      <c r="K229" s="1041"/>
      <c r="L229" s="1499"/>
      <c r="M229" s="1499"/>
      <c r="N229" s="1041"/>
      <c r="O229" s="1041"/>
      <c r="P229" s="1041"/>
      <c r="Q229" s="1041"/>
      <c r="R229" s="1499"/>
      <c r="S229" s="1041"/>
      <c r="T229" s="1041"/>
      <c r="U229" s="450"/>
      <c r="V229" s="1041"/>
      <c r="W229" s="1041"/>
      <c r="X229" s="1041"/>
      <c r="Y229" s="1041"/>
      <c r="Z229" s="1041"/>
      <c r="AA229" s="1495"/>
      <c r="AB229" s="472"/>
      <c r="AC229" s="472"/>
      <c r="AD229" s="472"/>
      <c r="AE229" s="472"/>
    </row>
    <row r="230" spans="1:31" s="14431" customFormat="1" ht="11.25" customHeight="1">
      <c r="A230" s="876"/>
      <c r="B230" s="1499"/>
      <c r="C230" s="1499"/>
      <c r="D230" s="267"/>
      <c r="K230" s="1041"/>
      <c r="L230" s="1499"/>
      <c r="M230" s="1499"/>
      <c r="N230" s="1041"/>
      <c r="O230" s="1041"/>
      <c r="P230" s="1041"/>
      <c r="Q230" s="1041"/>
      <c r="R230" s="1499"/>
      <c r="S230" s="1041"/>
      <c r="T230" s="1041"/>
      <c r="U230" s="450"/>
      <c r="V230" s="1041"/>
      <c r="W230" s="1041"/>
      <c r="X230" s="1041"/>
      <c r="Y230" s="1041"/>
      <c r="Z230" s="1041"/>
      <c r="AA230" s="1495"/>
      <c r="AB230" s="472"/>
      <c r="AC230" s="472"/>
      <c r="AD230" s="472"/>
      <c r="AE230" s="472"/>
    </row>
    <row r="231" spans="1:31" s="14431" customFormat="1" ht="11.25" customHeight="1">
      <c r="A231" s="876"/>
      <c r="B231" s="1499"/>
      <c r="C231" s="1499"/>
      <c r="D231" s="267"/>
      <c r="K231" s="1041"/>
      <c r="L231" s="1499"/>
      <c r="M231" s="1499"/>
      <c r="N231" s="1041"/>
      <c r="O231" s="1041"/>
      <c r="P231" s="1041"/>
      <c r="Q231" s="1041"/>
      <c r="R231" s="1499"/>
      <c r="S231" s="1041"/>
      <c r="T231" s="1041"/>
      <c r="U231" s="450"/>
      <c r="V231" s="1041"/>
      <c r="W231" s="1041"/>
      <c r="X231" s="1041"/>
      <c r="Y231" s="1041"/>
      <c r="Z231" s="1041"/>
      <c r="AA231" s="1495"/>
      <c r="AB231" s="472"/>
      <c r="AC231" s="472"/>
      <c r="AD231" s="472"/>
      <c r="AE231" s="472"/>
    </row>
    <row r="232" spans="1:31" s="14431" customFormat="1" ht="11.25" customHeight="1">
      <c r="A232" s="876"/>
      <c r="B232" s="1499"/>
      <c r="C232" s="1499"/>
      <c r="D232" s="267"/>
      <c r="K232" s="1041"/>
      <c r="L232" s="1499"/>
      <c r="M232" s="1499"/>
      <c r="N232" s="1041"/>
      <c r="O232" s="1041"/>
      <c r="P232" s="1041"/>
      <c r="Q232" s="1041"/>
      <c r="R232" s="1499"/>
      <c r="S232" s="1041"/>
      <c r="T232" s="1041"/>
      <c r="U232" s="450"/>
      <c r="V232" s="1041"/>
      <c r="W232" s="1041"/>
      <c r="X232" s="1041"/>
      <c r="Y232" s="1041"/>
      <c r="Z232" s="1041"/>
      <c r="AA232" s="1495"/>
      <c r="AB232" s="472"/>
      <c r="AC232" s="472"/>
      <c r="AD232" s="472"/>
      <c r="AE232" s="472"/>
    </row>
    <row r="233" spans="1:31" s="14431" customFormat="1" ht="11.25" customHeight="1">
      <c r="A233" s="876"/>
      <c r="B233" s="1499"/>
      <c r="C233" s="1499"/>
      <c r="D233" s="267"/>
      <c r="K233" s="1041"/>
      <c r="L233" s="1499"/>
      <c r="M233" s="1499"/>
      <c r="N233" s="1041"/>
      <c r="O233" s="1041"/>
      <c r="P233" s="1041"/>
      <c r="Q233" s="1041"/>
      <c r="R233" s="1499"/>
      <c r="S233" s="1041"/>
      <c r="T233" s="1041"/>
      <c r="U233" s="450"/>
      <c r="V233" s="1041"/>
      <c r="W233" s="1041"/>
      <c r="X233" s="1041"/>
      <c r="Y233" s="1041"/>
      <c r="Z233" s="1041"/>
      <c r="AA233" s="1495"/>
      <c r="AB233" s="472"/>
      <c r="AC233" s="472"/>
      <c r="AD233" s="472"/>
      <c r="AE233" s="472"/>
    </row>
    <row r="234" spans="1:31" s="14431" customFormat="1" ht="11.25" customHeight="1">
      <c r="A234" s="876"/>
      <c r="B234" s="1499"/>
      <c r="C234" s="1499"/>
      <c r="D234" s="267"/>
      <c r="K234" s="1041"/>
      <c r="L234" s="1499"/>
      <c r="M234" s="1499"/>
      <c r="N234" s="1041"/>
      <c r="O234" s="1041"/>
      <c r="P234" s="1041"/>
      <c r="Q234" s="1041"/>
      <c r="R234" s="1499"/>
      <c r="S234" s="1041"/>
      <c r="T234" s="1041"/>
      <c r="U234" s="450"/>
      <c r="V234" s="1041"/>
      <c r="W234" s="1041"/>
      <c r="X234" s="1041"/>
      <c r="Y234" s="1041"/>
      <c r="Z234" s="1041"/>
      <c r="AA234" s="1495"/>
      <c r="AB234" s="472"/>
      <c r="AC234" s="472"/>
      <c r="AD234" s="472"/>
      <c r="AE234" s="472"/>
    </row>
    <row r="235" spans="1:31" s="14431" customFormat="1" ht="11.25" customHeight="1">
      <c r="A235" s="876"/>
      <c r="B235" s="1499"/>
      <c r="C235" s="1499"/>
      <c r="D235" s="267"/>
      <c r="K235" s="1041"/>
      <c r="L235" s="1499"/>
      <c r="M235" s="1499"/>
      <c r="N235" s="1041"/>
      <c r="O235" s="1041"/>
      <c r="P235" s="1041"/>
      <c r="Q235" s="1041"/>
      <c r="R235" s="1499"/>
      <c r="S235" s="1041"/>
      <c r="T235" s="1041"/>
      <c r="U235" s="450"/>
      <c r="V235" s="1041"/>
      <c r="W235" s="1041"/>
      <c r="X235" s="1041"/>
      <c r="Y235" s="1041"/>
      <c r="Z235" s="1041"/>
      <c r="AA235" s="1495"/>
      <c r="AB235" s="472"/>
      <c r="AC235" s="472"/>
      <c r="AD235" s="472"/>
      <c r="AE235" s="472"/>
    </row>
    <row r="236" spans="1:31" s="14431" customFormat="1" ht="11.25" customHeight="1">
      <c r="A236" s="876"/>
      <c r="B236" s="1499"/>
      <c r="C236" s="1499"/>
      <c r="D236" s="267"/>
      <c r="K236" s="1041"/>
      <c r="L236" s="1499"/>
      <c r="M236" s="1499"/>
      <c r="N236" s="1041"/>
      <c r="O236" s="1041"/>
      <c r="P236" s="1041"/>
      <c r="Q236" s="1041"/>
      <c r="R236" s="1499"/>
      <c r="S236" s="1041"/>
      <c r="T236" s="1041"/>
      <c r="U236" s="450"/>
      <c r="V236" s="1041"/>
      <c r="W236" s="1041"/>
      <c r="X236" s="1041"/>
      <c r="Y236" s="1041"/>
      <c r="Z236" s="1041"/>
      <c r="AA236" s="1495"/>
      <c r="AB236" s="472"/>
      <c r="AC236" s="472"/>
      <c r="AD236" s="472"/>
      <c r="AE236" s="472"/>
    </row>
    <row r="237" spans="1:31" s="14431" customFormat="1" ht="11.25" customHeight="1">
      <c r="A237" s="876"/>
      <c r="B237" s="1499"/>
      <c r="C237" s="1499"/>
      <c r="D237" s="267"/>
      <c r="K237" s="1041"/>
      <c r="L237" s="1499"/>
      <c r="M237" s="1499"/>
      <c r="N237" s="1041"/>
      <c r="O237" s="1041"/>
      <c r="P237" s="1041"/>
      <c r="Q237" s="1041"/>
      <c r="R237" s="1499"/>
      <c r="S237" s="1041"/>
      <c r="T237" s="1041"/>
      <c r="U237" s="450"/>
      <c r="V237" s="1041"/>
      <c r="W237" s="1041"/>
      <c r="X237" s="1041"/>
      <c r="Y237" s="1041"/>
      <c r="Z237" s="1041"/>
      <c r="AA237" s="1495"/>
      <c r="AB237" s="472"/>
      <c r="AC237" s="472"/>
      <c r="AD237" s="472"/>
      <c r="AE237" s="472"/>
    </row>
    <row r="238" spans="1:31" s="14431" customFormat="1" ht="11.25" customHeight="1">
      <c r="A238" s="876"/>
      <c r="B238" s="1499"/>
      <c r="C238" s="1499"/>
      <c r="D238" s="267"/>
      <c r="K238" s="1041"/>
      <c r="L238" s="1499"/>
      <c r="M238" s="1499"/>
      <c r="N238" s="1041"/>
      <c r="O238" s="1041"/>
      <c r="P238" s="1041"/>
      <c r="Q238" s="1041"/>
      <c r="R238" s="1499"/>
      <c r="S238" s="1041"/>
      <c r="T238" s="1041"/>
      <c r="U238" s="450"/>
      <c r="V238" s="1041"/>
      <c r="W238" s="1041"/>
      <c r="X238" s="1041"/>
      <c r="Y238" s="1041"/>
      <c r="Z238" s="1041"/>
      <c r="AA238" s="1495"/>
      <c r="AB238" s="472"/>
      <c r="AC238" s="472"/>
      <c r="AD238" s="472"/>
      <c r="AE238" s="472"/>
    </row>
    <row r="239" spans="1:31" s="14431" customFormat="1" ht="11.25" customHeight="1">
      <c r="A239" s="876"/>
      <c r="B239" s="1499"/>
      <c r="C239" s="1499"/>
      <c r="D239" s="267"/>
      <c r="K239" s="1041"/>
      <c r="L239" s="1499"/>
      <c r="M239" s="1499"/>
      <c r="N239" s="1041"/>
      <c r="O239" s="1041"/>
      <c r="P239" s="1041"/>
      <c r="Q239" s="1041"/>
      <c r="R239" s="1499"/>
      <c r="S239" s="1041"/>
      <c r="T239" s="1041"/>
      <c r="U239" s="450"/>
      <c r="V239" s="1041"/>
      <c r="W239" s="1041"/>
      <c r="X239" s="1041"/>
      <c r="Y239" s="1041"/>
      <c r="Z239" s="1041"/>
      <c r="AA239" s="1495"/>
      <c r="AB239" s="472"/>
      <c r="AC239" s="472"/>
      <c r="AD239" s="472"/>
      <c r="AE239" s="472"/>
    </row>
    <row r="240" spans="1:31" s="14431" customFormat="1" ht="11.25" customHeight="1">
      <c r="A240" s="876"/>
      <c r="B240" s="1499"/>
      <c r="C240" s="1499"/>
      <c r="D240" s="267"/>
      <c r="K240" s="1041"/>
      <c r="L240" s="1499"/>
      <c r="M240" s="1499"/>
      <c r="N240" s="1041"/>
      <c r="O240" s="1041"/>
      <c r="P240" s="1041"/>
      <c r="Q240" s="1041"/>
      <c r="R240" s="1499"/>
      <c r="S240" s="1041"/>
      <c r="T240" s="1041"/>
      <c r="U240" s="450"/>
      <c r="V240" s="1041"/>
      <c r="W240" s="1041"/>
      <c r="X240" s="1041"/>
      <c r="Y240" s="1041"/>
      <c r="Z240" s="1041"/>
      <c r="AA240" s="1495"/>
      <c r="AB240" s="472"/>
      <c r="AC240" s="472"/>
      <c r="AD240" s="472"/>
      <c r="AE240" s="472"/>
    </row>
    <row r="241" spans="1:31" s="14431" customFormat="1" ht="11.25" customHeight="1">
      <c r="A241" s="876"/>
      <c r="B241" s="1499"/>
      <c r="C241" s="1499"/>
      <c r="D241" s="267"/>
      <c r="K241" s="1041"/>
      <c r="L241" s="1499"/>
      <c r="M241" s="1499"/>
      <c r="N241" s="1041"/>
      <c r="O241" s="1041"/>
      <c r="P241" s="1041"/>
      <c r="Q241" s="1041"/>
      <c r="R241" s="1499"/>
      <c r="S241" s="1041"/>
      <c r="T241" s="1041"/>
      <c r="U241" s="450"/>
      <c r="V241" s="1041"/>
      <c r="W241" s="1041"/>
      <c r="X241" s="1041"/>
      <c r="Y241" s="1041"/>
      <c r="Z241" s="1041"/>
      <c r="AA241" s="1495"/>
      <c r="AB241" s="472"/>
      <c r="AC241" s="472"/>
      <c r="AD241" s="472"/>
      <c r="AE241" s="472"/>
    </row>
    <row r="242" spans="1:31" s="14431" customFormat="1" ht="11.25" customHeight="1">
      <c r="A242" s="876"/>
      <c r="B242" s="1499"/>
      <c r="C242" s="1499"/>
      <c r="D242" s="267"/>
      <c r="K242" s="1041"/>
      <c r="L242" s="1499"/>
      <c r="M242" s="1499"/>
      <c r="N242" s="1041"/>
      <c r="O242" s="1041"/>
      <c r="P242" s="1041"/>
      <c r="Q242" s="1041"/>
      <c r="R242" s="1499"/>
      <c r="S242" s="1041"/>
      <c r="T242" s="1041"/>
      <c r="U242" s="450"/>
      <c r="V242" s="1041"/>
      <c r="W242" s="1041"/>
      <c r="X242" s="1041"/>
      <c r="Y242" s="1041"/>
      <c r="Z242" s="1041"/>
      <c r="AA242" s="1495"/>
      <c r="AB242" s="472"/>
      <c r="AC242" s="472"/>
      <c r="AD242" s="472"/>
      <c r="AE242" s="472"/>
    </row>
    <row r="243" spans="1:31" s="14431" customFormat="1" ht="11.25" customHeight="1">
      <c r="A243" s="876"/>
      <c r="B243" s="1499"/>
      <c r="C243" s="1499"/>
      <c r="D243" s="267"/>
      <c r="K243" s="1041"/>
      <c r="L243" s="1499"/>
      <c r="M243" s="1499"/>
      <c r="N243" s="1041"/>
      <c r="O243" s="1041"/>
      <c r="P243" s="1041"/>
      <c r="Q243" s="1041"/>
      <c r="R243" s="1499"/>
      <c r="S243" s="1041"/>
      <c r="T243" s="1041"/>
      <c r="U243" s="450"/>
      <c r="V243" s="1041"/>
      <c r="W243" s="1041"/>
      <c r="X243" s="1041"/>
      <c r="Y243" s="1041"/>
      <c r="Z243" s="1041"/>
      <c r="AA243" s="1495"/>
      <c r="AB243" s="472"/>
      <c r="AC243" s="472"/>
      <c r="AD243" s="472"/>
      <c r="AE243" s="472"/>
    </row>
    <row r="244" spans="1:31" s="14431" customFormat="1" ht="11.25" customHeight="1">
      <c r="A244" s="876"/>
      <c r="B244" s="1499"/>
      <c r="C244" s="1499"/>
      <c r="D244" s="267"/>
      <c r="K244" s="1041"/>
      <c r="L244" s="1499"/>
      <c r="M244" s="1499"/>
      <c r="N244" s="1041"/>
      <c r="O244" s="1041"/>
      <c r="P244" s="1041"/>
      <c r="Q244" s="1041"/>
      <c r="R244" s="1499"/>
      <c r="S244" s="1041"/>
      <c r="T244" s="1041"/>
      <c r="U244" s="450"/>
      <c r="V244" s="1041"/>
      <c r="W244" s="1041"/>
      <c r="X244" s="1041"/>
      <c r="Y244" s="1041"/>
      <c r="Z244" s="1041"/>
      <c r="AA244" s="1495"/>
      <c r="AB244" s="472"/>
      <c r="AC244" s="472"/>
      <c r="AD244" s="472"/>
      <c r="AE244" s="472"/>
    </row>
    <row r="245" spans="1:31" s="14431" customFormat="1" ht="11.25" customHeight="1">
      <c r="A245" s="876"/>
      <c r="B245" s="1499"/>
      <c r="C245" s="1499"/>
      <c r="D245" s="267"/>
      <c r="K245" s="1041"/>
      <c r="L245" s="1499"/>
      <c r="M245" s="1499"/>
      <c r="N245" s="1041"/>
      <c r="O245" s="1041"/>
      <c r="P245" s="1041"/>
      <c r="Q245" s="1041"/>
      <c r="R245" s="1499"/>
      <c r="S245" s="1041"/>
      <c r="T245" s="1041"/>
      <c r="U245" s="450"/>
      <c r="V245" s="1041"/>
      <c r="W245" s="1041"/>
      <c r="X245" s="1041"/>
      <c r="Y245" s="1041"/>
      <c r="Z245" s="1041"/>
      <c r="AA245" s="1495"/>
      <c r="AB245" s="472"/>
      <c r="AC245" s="472"/>
      <c r="AD245" s="472"/>
      <c r="AE245" s="472"/>
    </row>
    <row r="246" spans="1:31" s="14431" customFormat="1" ht="11.25" customHeight="1">
      <c r="A246" s="876"/>
      <c r="B246" s="1499"/>
      <c r="C246" s="1499"/>
      <c r="D246" s="267"/>
      <c r="K246" s="1041"/>
      <c r="L246" s="1499"/>
      <c r="M246" s="1499"/>
      <c r="N246" s="1041"/>
      <c r="O246" s="1041"/>
      <c r="P246" s="1041"/>
      <c r="Q246" s="1041"/>
      <c r="R246" s="1499"/>
      <c r="S246" s="1041"/>
      <c r="T246" s="1041"/>
      <c r="U246" s="450"/>
      <c r="V246" s="1041"/>
      <c r="W246" s="1041"/>
      <c r="X246" s="1041"/>
      <c r="Y246" s="1041"/>
      <c r="Z246" s="1041"/>
      <c r="AA246" s="1495"/>
      <c r="AB246" s="472"/>
      <c r="AC246" s="472"/>
      <c r="AD246" s="472"/>
      <c r="AE246" s="472"/>
    </row>
    <row r="247" spans="1:31" s="14431" customFormat="1" ht="11.25" customHeight="1">
      <c r="A247" s="876"/>
      <c r="B247" s="1499"/>
      <c r="C247" s="1499"/>
      <c r="D247" s="267"/>
      <c r="K247" s="1041"/>
      <c r="L247" s="1499"/>
      <c r="M247" s="1499"/>
      <c r="N247" s="1041"/>
      <c r="O247" s="1041"/>
      <c r="P247" s="1041"/>
      <c r="Q247" s="1041"/>
      <c r="R247" s="1499"/>
      <c r="S247" s="1041"/>
      <c r="T247" s="1041"/>
      <c r="U247" s="450"/>
      <c r="V247" s="1041"/>
      <c r="W247" s="1041"/>
      <c r="X247" s="1041"/>
      <c r="Y247" s="1041"/>
      <c r="Z247" s="1041"/>
      <c r="AA247" s="1495"/>
      <c r="AB247" s="472"/>
      <c r="AC247" s="472"/>
      <c r="AD247" s="472"/>
      <c r="AE247" s="472"/>
    </row>
    <row r="248" spans="1:31" s="14431" customFormat="1" ht="11.25" customHeight="1">
      <c r="A248" s="876"/>
      <c r="B248" s="1499"/>
      <c r="C248" s="1499"/>
      <c r="D248" s="267"/>
      <c r="K248" s="1041"/>
      <c r="L248" s="1499"/>
      <c r="M248" s="1499"/>
      <c r="N248" s="1041"/>
      <c r="O248" s="1041"/>
      <c r="P248" s="1041"/>
      <c r="Q248" s="1041"/>
      <c r="R248" s="1499"/>
      <c r="S248" s="1041"/>
      <c r="T248" s="1041"/>
      <c r="U248" s="450"/>
      <c r="V248" s="1041"/>
      <c r="W248" s="1041"/>
      <c r="X248" s="1041"/>
      <c r="Y248" s="1041"/>
      <c r="Z248" s="1041"/>
      <c r="AA248" s="1495"/>
      <c r="AB248" s="472"/>
      <c r="AC248" s="472"/>
      <c r="AD248" s="472"/>
      <c r="AE248" s="472"/>
    </row>
    <row r="249" spans="1:31" s="14431" customFormat="1" ht="11.25" customHeight="1">
      <c r="A249" s="876"/>
      <c r="B249" s="1499"/>
      <c r="C249" s="1499"/>
      <c r="D249" s="267"/>
      <c r="K249" s="1041"/>
      <c r="L249" s="1499"/>
      <c r="M249" s="1499"/>
      <c r="N249" s="1041"/>
      <c r="O249" s="1041"/>
      <c r="P249" s="1041"/>
      <c r="Q249" s="1041"/>
      <c r="R249" s="1499"/>
      <c r="S249" s="1041"/>
      <c r="T249" s="1041"/>
      <c r="U249" s="450"/>
      <c r="V249" s="1041"/>
      <c r="W249" s="1041"/>
      <c r="X249" s="1041"/>
      <c r="Y249" s="1041"/>
      <c r="Z249" s="1041"/>
      <c r="AA249" s="1495"/>
      <c r="AB249" s="472"/>
      <c r="AC249" s="472"/>
      <c r="AD249" s="472"/>
      <c r="AE249" s="472"/>
    </row>
    <row r="250" spans="1:31" s="14431" customFormat="1" ht="11.25" customHeight="1">
      <c r="A250" s="876"/>
      <c r="B250" s="1499"/>
      <c r="C250" s="1499"/>
      <c r="D250" s="267"/>
      <c r="K250" s="1041"/>
      <c r="L250" s="1499"/>
      <c r="M250" s="1499"/>
      <c r="N250" s="1041"/>
      <c r="O250" s="1041"/>
      <c r="P250" s="1041"/>
      <c r="Q250" s="1041"/>
      <c r="R250" s="1499"/>
      <c r="S250" s="1041"/>
      <c r="T250" s="1041"/>
      <c r="U250" s="450"/>
      <c r="V250" s="1041"/>
      <c r="W250" s="1041"/>
      <c r="X250" s="1041"/>
      <c r="Y250" s="1041"/>
      <c r="Z250" s="1041"/>
      <c r="AA250" s="1495"/>
      <c r="AB250" s="472"/>
      <c r="AC250" s="472"/>
      <c r="AD250" s="472"/>
      <c r="AE250" s="472"/>
    </row>
    <row r="251" spans="1:31" s="14431" customFormat="1" ht="11.25" customHeight="1">
      <c r="A251" s="876"/>
      <c r="B251" s="1499"/>
      <c r="C251" s="1499"/>
      <c r="D251" s="267"/>
      <c r="K251" s="1041"/>
      <c r="L251" s="1499"/>
      <c r="M251" s="1499"/>
      <c r="N251" s="1041"/>
      <c r="O251" s="1041"/>
      <c r="P251" s="1041"/>
      <c r="Q251" s="1041"/>
      <c r="R251" s="1499"/>
      <c r="S251" s="1041"/>
      <c r="T251" s="1041"/>
      <c r="U251" s="450"/>
      <c r="V251" s="1041"/>
      <c r="W251" s="1041"/>
      <c r="X251" s="1041"/>
      <c r="Y251" s="1041"/>
      <c r="Z251" s="1041"/>
      <c r="AA251" s="1495"/>
      <c r="AB251" s="472"/>
      <c r="AC251" s="472"/>
      <c r="AD251" s="472"/>
      <c r="AE251" s="472"/>
    </row>
    <row r="252" spans="1:31" s="14431" customFormat="1" ht="11.25" customHeight="1">
      <c r="A252" s="876"/>
      <c r="B252" s="1499"/>
      <c r="C252" s="1499"/>
      <c r="D252" s="267"/>
      <c r="K252" s="1041"/>
      <c r="L252" s="1499"/>
      <c r="M252" s="1499"/>
      <c r="N252" s="1041"/>
      <c r="O252" s="1041"/>
      <c r="P252" s="1041"/>
      <c r="Q252" s="1041"/>
      <c r="R252" s="1499"/>
      <c r="S252" s="1041"/>
      <c r="T252" s="1041"/>
      <c r="U252" s="450"/>
      <c r="V252" s="1041"/>
      <c r="W252" s="1041"/>
      <c r="X252" s="1041"/>
      <c r="Y252" s="1041"/>
      <c r="Z252" s="1041"/>
      <c r="AA252" s="1495"/>
      <c r="AB252" s="472"/>
      <c r="AC252" s="472"/>
      <c r="AD252" s="472"/>
      <c r="AE252" s="472"/>
    </row>
    <row r="253" spans="1:31" s="14431" customFormat="1" ht="11.25" customHeight="1">
      <c r="A253" s="876"/>
      <c r="B253" s="1499"/>
      <c r="C253" s="1499"/>
      <c r="D253" s="267"/>
      <c r="K253" s="1041"/>
      <c r="L253" s="1499"/>
      <c r="M253" s="1499"/>
      <c r="N253" s="1041"/>
      <c r="O253" s="1041"/>
      <c r="P253" s="1041"/>
      <c r="Q253" s="1041"/>
      <c r="R253" s="1499"/>
      <c r="S253" s="1041"/>
      <c r="T253" s="1041"/>
      <c r="U253" s="450"/>
      <c r="V253" s="1041"/>
      <c r="W253" s="1041"/>
      <c r="X253" s="1041"/>
      <c r="Y253" s="1041"/>
      <c r="Z253" s="1041"/>
      <c r="AA253" s="1495"/>
      <c r="AB253" s="472"/>
      <c r="AC253" s="472"/>
      <c r="AD253" s="472"/>
      <c r="AE253" s="472"/>
    </row>
    <row r="254" spans="1:31" s="14431" customFormat="1" ht="11.25" customHeight="1">
      <c r="A254" s="876"/>
      <c r="B254" s="1499"/>
      <c r="C254" s="1499"/>
      <c r="D254" s="267"/>
      <c r="K254" s="1041"/>
      <c r="L254" s="1499"/>
      <c r="M254" s="1499"/>
      <c r="N254" s="1041"/>
      <c r="O254" s="1041"/>
      <c r="P254" s="1041"/>
      <c r="Q254" s="1041"/>
      <c r="R254" s="1499"/>
      <c r="S254" s="1041"/>
      <c r="T254" s="1041"/>
      <c r="U254" s="450"/>
      <c r="V254" s="1041"/>
      <c r="W254" s="1041"/>
      <c r="X254" s="1041"/>
      <c r="Y254" s="1041"/>
      <c r="Z254" s="1041"/>
      <c r="AA254" s="1495"/>
      <c r="AB254" s="472"/>
      <c r="AC254" s="472"/>
      <c r="AD254" s="472"/>
      <c r="AE254" s="472"/>
    </row>
    <row r="255" spans="1:31" s="14431" customFormat="1" ht="11.25" customHeight="1">
      <c r="A255" s="876"/>
      <c r="B255" s="1499"/>
      <c r="C255" s="1499"/>
      <c r="D255" s="267"/>
      <c r="K255" s="1041"/>
      <c r="L255" s="1499"/>
      <c r="M255" s="1499"/>
      <c r="N255" s="1041"/>
      <c r="O255" s="1041"/>
      <c r="P255" s="1041"/>
      <c r="Q255" s="1041"/>
      <c r="R255" s="1499"/>
      <c r="S255" s="1041"/>
      <c r="T255" s="1041"/>
      <c r="U255" s="450"/>
      <c r="V255" s="1041"/>
      <c r="W255" s="1041"/>
      <c r="X255" s="1041"/>
      <c r="Y255" s="1041"/>
      <c r="Z255" s="1041"/>
      <c r="AA255" s="1495"/>
      <c r="AB255" s="472"/>
      <c r="AC255" s="472"/>
      <c r="AD255" s="472"/>
      <c r="AE255" s="472"/>
    </row>
    <row r="256" spans="1:31" s="14431" customFormat="1" ht="11.25" customHeight="1">
      <c r="A256" s="876"/>
      <c r="B256" s="1499"/>
      <c r="C256" s="1499"/>
      <c r="D256" s="267"/>
      <c r="K256" s="1041"/>
      <c r="L256" s="1499"/>
      <c r="M256" s="1499"/>
      <c r="N256" s="1041"/>
      <c r="O256" s="1041"/>
      <c r="P256" s="1041"/>
      <c r="Q256" s="1041"/>
      <c r="R256" s="1499"/>
      <c r="S256" s="1041"/>
      <c r="T256" s="1041"/>
      <c r="U256" s="450"/>
      <c r="V256" s="1041"/>
      <c r="W256" s="1041"/>
      <c r="X256" s="1041"/>
      <c r="Y256" s="1041"/>
      <c r="Z256" s="1041"/>
      <c r="AA256" s="1495"/>
      <c r="AB256" s="472"/>
      <c r="AC256" s="472"/>
      <c r="AD256" s="472"/>
      <c r="AE256" s="472"/>
    </row>
    <row r="257" spans="1:31" s="14431" customFormat="1" ht="11.25" customHeight="1">
      <c r="A257" s="876"/>
      <c r="B257" s="1499"/>
      <c r="C257" s="1499"/>
      <c r="D257" s="267"/>
      <c r="K257" s="1041"/>
      <c r="L257" s="1499"/>
      <c r="M257" s="1499"/>
      <c r="N257" s="1041"/>
      <c r="O257" s="1041"/>
      <c r="P257" s="1041"/>
      <c r="Q257" s="1041"/>
      <c r="R257" s="1499"/>
      <c r="S257" s="1041"/>
      <c r="T257" s="1041"/>
      <c r="U257" s="450"/>
      <c r="V257" s="1041"/>
      <c r="W257" s="1041"/>
      <c r="X257" s="1041"/>
      <c r="Y257" s="1041"/>
      <c r="Z257" s="1041"/>
      <c r="AA257" s="1495"/>
      <c r="AB257" s="472"/>
      <c r="AC257" s="472"/>
      <c r="AD257" s="472"/>
      <c r="AE257" s="472"/>
    </row>
    <row r="258" spans="1:31" s="14431" customFormat="1" ht="11.25" customHeight="1">
      <c r="A258" s="876"/>
      <c r="B258" s="1499"/>
      <c r="C258" s="1499"/>
      <c r="D258" s="267"/>
      <c r="K258" s="1041"/>
      <c r="L258" s="1499"/>
      <c r="M258" s="1499"/>
      <c r="N258" s="1041"/>
      <c r="O258" s="1041"/>
      <c r="P258" s="1041"/>
      <c r="Q258" s="1041"/>
      <c r="R258" s="1499"/>
      <c r="S258" s="1041"/>
      <c r="T258" s="1041"/>
      <c r="U258" s="450"/>
      <c r="V258" s="1041"/>
      <c r="W258" s="1041"/>
      <c r="X258" s="1041"/>
      <c r="Y258" s="1041"/>
      <c r="Z258" s="1041"/>
      <c r="AA258" s="1495"/>
      <c r="AB258" s="472"/>
      <c r="AC258" s="472"/>
      <c r="AD258" s="472"/>
      <c r="AE258" s="472"/>
    </row>
    <row r="259" spans="1:31" s="14431" customFormat="1" ht="11.25" customHeight="1">
      <c r="A259" s="876"/>
      <c r="B259" s="1499"/>
      <c r="C259" s="1499"/>
      <c r="D259" s="267"/>
      <c r="K259" s="1041"/>
      <c r="L259" s="1499"/>
      <c r="M259" s="1499"/>
      <c r="N259" s="1041"/>
      <c r="O259" s="1041"/>
      <c r="P259" s="1041"/>
      <c r="Q259" s="1041"/>
      <c r="R259" s="1499"/>
      <c r="S259" s="1041"/>
      <c r="T259" s="1041"/>
      <c r="U259" s="450"/>
      <c r="V259" s="1041"/>
      <c r="W259" s="1041"/>
      <c r="X259" s="1041"/>
      <c r="Y259" s="1041"/>
      <c r="Z259" s="1041"/>
      <c r="AA259" s="1495"/>
      <c r="AB259" s="472"/>
      <c r="AC259" s="472"/>
      <c r="AD259" s="472"/>
      <c r="AE259" s="472"/>
    </row>
    <row r="260" spans="1:31" s="14431" customFormat="1" ht="11.25" customHeight="1">
      <c r="A260" s="876"/>
      <c r="B260" s="1499"/>
      <c r="C260" s="1499"/>
      <c r="D260" s="267"/>
      <c r="K260" s="1041"/>
      <c r="L260" s="1499"/>
      <c r="M260" s="1499"/>
      <c r="N260" s="1041"/>
      <c r="O260" s="1041"/>
      <c r="P260" s="1041"/>
      <c r="Q260" s="1041"/>
      <c r="R260" s="1499"/>
      <c r="S260" s="1041"/>
      <c r="T260" s="1041"/>
      <c r="U260" s="450"/>
      <c r="V260" s="1041"/>
      <c r="W260" s="1041"/>
      <c r="X260" s="1041"/>
      <c r="Y260" s="1041"/>
      <c r="Z260" s="1041"/>
      <c r="AA260" s="1495"/>
      <c r="AB260" s="472"/>
      <c r="AC260" s="472"/>
      <c r="AD260" s="472"/>
      <c r="AE260" s="472"/>
    </row>
    <row r="261" spans="1:31" s="14431" customFormat="1" ht="11.25" customHeight="1">
      <c r="A261" s="876"/>
      <c r="B261" s="1499"/>
      <c r="C261" s="1499"/>
      <c r="D261" s="267"/>
      <c r="K261" s="1041"/>
      <c r="L261" s="1499"/>
      <c r="M261" s="1499"/>
      <c r="N261" s="1041"/>
      <c r="O261" s="1041"/>
      <c r="P261" s="1041"/>
      <c r="Q261" s="1041"/>
      <c r="R261" s="1499"/>
      <c r="S261" s="1041"/>
      <c r="T261" s="1041"/>
      <c r="U261" s="450"/>
      <c r="V261" s="1041"/>
      <c r="W261" s="1041"/>
      <c r="X261" s="1041"/>
      <c r="Y261" s="1041"/>
      <c r="Z261" s="1041"/>
      <c r="AA261" s="1495"/>
      <c r="AB261" s="472"/>
      <c r="AC261" s="472"/>
      <c r="AD261" s="472"/>
      <c r="AE261" s="472"/>
    </row>
    <row r="262" spans="1:31" s="14431" customFormat="1" ht="11.25" customHeight="1">
      <c r="A262" s="876"/>
      <c r="B262" s="1499"/>
      <c r="C262" s="1499"/>
      <c r="D262" s="267"/>
      <c r="K262" s="1041"/>
      <c r="L262" s="1499"/>
      <c r="M262" s="1499"/>
      <c r="N262" s="1041"/>
      <c r="O262" s="1041"/>
      <c r="P262" s="1041"/>
      <c r="Q262" s="1041"/>
      <c r="R262" s="1499"/>
      <c r="S262" s="1041"/>
      <c r="T262" s="1041"/>
      <c r="U262" s="450"/>
      <c r="V262" s="1041"/>
      <c r="W262" s="1041"/>
      <c r="X262" s="1041"/>
      <c r="Y262" s="1041"/>
      <c r="Z262" s="1041"/>
      <c r="AA262" s="1495"/>
      <c r="AB262" s="472"/>
      <c r="AC262" s="472"/>
      <c r="AD262" s="472"/>
      <c r="AE262" s="472"/>
    </row>
    <row r="263" spans="1:31" s="14431" customFormat="1" ht="11.25" customHeight="1">
      <c r="A263" s="876"/>
      <c r="B263" s="1499"/>
      <c r="C263" s="1499"/>
      <c r="D263" s="267"/>
      <c r="K263" s="1041"/>
      <c r="L263" s="1499"/>
      <c r="M263" s="1499"/>
      <c r="N263" s="1041"/>
      <c r="O263" s="1041"/>
      <c r="P263" s="1041"/>
      <c r="Q263" s="1041"/>
      <c r="R263" s="1499"/>
      <c r="S263" s="1041"/>
      <c r="T263" s="1041"/>
      <c r="U263" s="450"/>
      <c r="V263" s="1041"/>
      <c r="W263" s="1041"/>
      <c r="X263" s="1041"/>
      <c r="Y263" s="1041"/>
      <c r="Z263" s="1041"/>
      <c r="AA263" s="1495"/>
      <c r="AB263" s="472"/>
      <c r="AC263" s="472"/>
      <c r="AD263" s="472"/>
      <c r="AE263" s="472"/>
    </row>
    <row r="264" spans="1:31" s="14431" customFormat="1" ht="11.25" customHeight="1">
      <c r="A264" s="876"/>
      <c r="B264" s="1499"/>
      <c r="C264" s="1499"/>
      <c r="D264" s="267"/>
      <c r="K264" s="1041"/>
      <c r="L264" s="1499"/>
      <c r="M264" s="1499"/>
      <c r="N264" s="1041"/>
      <c r="O264" s="1041"/>
      <c r="P264" s="1041"/>
      <c r="Q264" s="1041"/>
      <c r="R264" s="1499"/>
      <c r="S264" s="1041"/>
      <c r="T264" s="1041"/>
      <c r="U264" s="450"/>
      <c r="V264" s="1041"/>
      <c r="W264" s="1041"/>
      <c r="X264" s="1041"/>
      <c r="Y264" s="1041"/>
      <c r="Z264" s="1041"/>
      <c r="AA264" s="1495"/>
      <c r="AB264" s="472"/>
      <c r="AC264" s="472"/>
      <c r="AD264" s="472"/>
      <c r="AE264" s="472"/>
    </row>
    <row r="265" spans="1:31" s="14431" customFormat="1" ht="11.25" customHeight="1">
      <c r="A265" s="876"/>
      <c r="B265" s="1499"/>
      <c r="C265" s="1499"/>
      <c r="D265" s="267"/>
      <c r="K265" s="1041"/>
      <c r="L265" s="1499"/>
      <c r="M265" s="1499"/>
      <c r="N265" s="1041"/>
      <c r="O265" s="1041"/>
      <c r="P265" s="1041"/>
      <c r="Q265" s="1041"/>
      <c r="R265" s="1499"/>
      <c r="S265" s="1041"/>
      <c r="T265" s="1041"/>
      <c r="U265" s="450"/>
      <c r="V265" s="1041"/>
      <c r="W265" s="1041"/>
      <c r="X265" s="1041"/>
      <c r="Y265" s="1041"/>
      <c r="Z265" s="1041"/>
      <c r="AA265" s="1495"/>
      <c r="AB265" s="472"/>
      <c r="AC265" s="472"/>
      <c r="AD265" s="472"/>
      <c r="AE265" s="472"/>
    </row>
    <row r="266" spans="1:31" s="14431" customFormat="1" ht="11.25" customHeight="1">
      <c r="A266" s="876"/>
      <c r="B266" s="1499"/>
      <c r="C266" s="1499"/>
      <c r="D266" s="267"/>
      <c r="K266" s="1041"/>
      <c r="L266" s="1499"/>
      <c r="M266" s="1499"/>
      <c r="N266" s="1041"/>
      <c r="O266" s="1041"/>
      <c r="P266" s="1041"/>
      <c r="Q266" s="1041"/>
      <c r="R266" s="1499"/>
      <c r="S266" s="1041"/>
      <c r="T266" s="1041"/>
      <c r="U266" s="450"/>
      <c r="V266" s="1041"/>
      <c r="W266" s="1041"/>
      <c r="X266" s="1041"/>
      <c r="Y266" s="1041"/>
      <c r="Z266" s="1041"/>
      <c r="AA266" s="1495"/>
      <c r="AB266" s="472"/>
      <c r="AC266" s="472"/>
      <c r="AD266" s="472"/>
      <c r="AE266" s="472"/>
    </row>
    <row r="267" spans="1:31" s="14431" customFormat="1" ht="11.25" customHeight="1">
      <c r="A267" s="876"/>
      <c r="B267" s="1499"/>
      <c r="C267" s="1499"/>
      <c r="D267" s="267"/>
      <c r="K267" s="1041"/>
      <c r="L267" s="1499"/>
      <c r="M267" s="1499"/>
      <c r="N267" s="1041"/>
      <c r="O267" s="1041"/>
      <c r="P267" s="1041"/>
      <c r="Q267" s="1041"/>
      <c r="R267" s="1499"/>
      <c r="S267" s="1041"/>
      <c r="T267" s="1041"/>
      <c r="U267" s="450"/>
      <c r="V267" s="1041"/>
      <c r="W267" s="1041"/>
      <c r="X267" s="1041"/>
      <c r="Y267" s="1041"/>
      <c r="Z267" s="1041"/>
      <c r="AA267" s="1495"/>
      <c r="AB267" s="472"/>
      <c r="AC267" s="472"/>
      <c r="AD267" s="472"/>
      <c r="AE267" s="472"/>
    </row>
    <row r="268" spans="1:31" s="14431" customFormat="1" ht="11.25" customHeight="1">
      <c r="A268" s="876"/>
      <c r="B268" s="1499"/>
      <c r="C268" s="1499"/>
      <c r="D268" s="267"/>
      <c r="K268" s="1041"/>
      <c r="L268" s="1499"/>
      <c r="M268" s="1499"/>
      <c r="N268" s="1041"/>
      <c r="O268" s="1041"/>
      <c r="P268" s="1041"/>
      <c r="Q268" s="1041"/>
      <c r="R268" s="1499"/>
      <c r="S268" s="1041"/>
      <c r="T268" s="1041"/>
      <c r="U268" s="450"/>
      <c r="V268" s="1041"/>
      <c r="W268" s="1041"/>
      <c r="X268" s="1041"/>
      <c r="Y268" s="1041"/>
      <c r="Z268" s="1041"/>
      <c r="AA268" s="1495"/>
      <c r="AB268" s="472"/>
      <c r="AC268" s="472"/>
      <c r="AD268" s="472"/>
      <c r="AE268" s="472"/>
    </row>
    <row r="269" spans="1:31" s="14431" customFormat="1" ht="11.25" customHeight="1">
      <c r="A269" s="876"/>
      <c r="B269" s="1499"/>
      <c r="C269" s="1499"/>
      <c r="D269" s="267"/>
      <c r="K269" s="1041"/>
      <c r="L269" s="1499"/>
      <c r="M269" s="1499"/>
      <c r="N269" s="1041"/>
      <c r="O269" s="1041"/>
      <c r="P269" s="1041"/>
      <c r="Q269" s="1041"/>
      <c r="R269" s="1499"/>
      <c r="S269" s="1041"/>
      <c r="T269" s="1041"/>
      <c r="U269" s="450"/>
      <c r="V269" s="1041"/>
      <c r="W269" s="1041"/>
      <c r="X269" s="1041"/>
      <c r="Y269" s="1041"/>
      <c r="Z269" s="1041"/>
      <c r="AA269" s="1495"/>
      <c r="AB269" s="472"/>
      <c r="AC269" s="472"/>
      <c r="AD269" s="472"/>
      <c r="AE269" s="472"/>
    </row>
    <row r="270" spans="1:31" s="14431" customFormat="1" ht="11.25" customHeight="1">
      <c r="A270" s="876"/>
      <c r="B270" s="1499"/>
      <c r="C270" s="1499"/>
      <c r="D270" s="267"/>
      <c r="K270" s="1041"/>
      <c r="L270" s="1499"/>
      <c r="M270" s="1499"/>
      <c r="N270" s="1041"/>
      <c r="O270" s="1041"/>
      <c r="P270" s="1041"/>
      <c r="Q270" s="1041"/>
      <c r="R270" s="1499"/>
      <c r="S270" s="1041"/>
      <c r="T270" s="1041"/>
      <c r="U270" s="450"/>
      <c r="V270" s="1041"/>
      <c r="W270" s="1041"/>
      <c r="X270" s="1041"/>
      <c r="Y270" s="1041"/>
      <c r="Z270" s="1041"/>
      <c r="AA270" s="1495"/>
      <c r="AB270" s="472"/>
      <c r="AC270" s="472"/>
      <c r="AD270" s="472"/>
      <c r="AE270" s="472"/>
    </row>
    <row r="271" spans="1:31" s="14431" customFormat="1" ht="11.25" customHeight="1">
      <c r="A271" s="876"/>
      <c r="B271" s="1499"/>
      <c r="C271" s="1499"/>
      <c r="D271" s="267"/>
      <c r="K271" s="1041"/>
      <c r="L271" s="1499"/>
      <c r="M271" s="1499"/>
      <c r="N271" s="1041"/>
      <c r="O271" s="1041"/>
      <c r="P271" s="1041"/>
      <c r="Q271" s="1041"/>
      <c r="R271" s="1499"/>
      <c r="S271" s="1041"/>
      <c r="T271" s="1041"/>
      <c r="U271" s="450"/>
      <c r="V271" s="1041"/>
      <c r="W271" s="1041"/>
      <c r="X271" s="1041"/>
      <c r="Y271" s="1041"/>
      <c r="Z271" s="1041"/>
      <c r="AA271" s="1495"/>
      <c r="AB271" s="472"/>
      <c r="AC271" s="472"/>
      <c r="AD271" s="472"/>
      <c r="AE271" s="472"/>
    </row>
    <row r="272" spans="1:31" s="14431" customFormat="1" ht="11.25" customHeight="1">
      <c r="A272" s="876"/>
      <c r="B272" s="1499"/>
      <c r="C272" s="1499"/>
      <c r="D272" s="267"/>
      <c r="K272" s="1041"/>
      <c r="L272" s="1499"/>
      <c r="M272" s="1499"/>
      <c r="N272" s="1041"/>
      <c r="O272" s="1041"/>
      <c r="P272" s="1041"/>
      <c r="Q272" s="1041"/>
      <c r="R272" s="1499"/>
      <c r="S272" s="1041"/>
      <c r="T272" s="1041"/>
      <c r="U272" s="450"/>
      <c r="V272" s="1041"/>
      <c r="W272" s="1041"/>
      <c r="X272" s="1041"/>
      <c r="Y272" s="1041"/>
      <c r="Z272" s="1041"/>
      <c r="AA272" s="1495"/>
      <c r="AB272" s="472"/>
      <c r="AC272" s="472"/>
      <c r="AD272" s="472"/>
      <c r="AE272" s="472"/>
    </row>
    <row r="273" spans="1:31" s="14431" customFormat="1" ht="11.25" customHeight="1">
      <c r="A273" s="876"/>
      <c r="B273" s="1499"/>
      <c r="C273" s="1499"/>
      <c r="D273" s="267"/>
      <c r="K273" s="1041"/>
      <c r="L273" s="1499"/>
      <c r="M273" s="1499"/>
      <c r="N273" s="1041"/>
      <c r="O273" s="1041"/>
      <c r="P273" s="1041"/>
      <c r="Q273" s="1041"/>
      <c r="R273" s="1499"/>
      <c r="S273" s="1041"/>
      <c r="T273" s="1041"/>
      <c r="U273" s="450"/>
      <c r="V273" s="1041"/>
      <c r="W273" s="1041"/>
      <c r="X273" s="1041"/>
      <c r="Y273" s="1041"/>
      <c r="Z273" s="1041"/>
      <c r="AA273" s="1495"/>
      <c r="AB273" s="472"/>
      <c r="AC273" s="472"/>
      <c r="AD273" s="472"/>
      <c r="AE273" s="472"/>
    </row>
    <row r="274" spans="1:31" s="14431" customFormat="1" ht="11.25" customHeight="1">
      <c r="A274" s="876"/>
      <c r="B274" s="1499"/>
      <c r="C274" s="1499"/>
      <c r="D274" s="267"/>
      <c r="K274" s="1041"/>
      <c r="L274" s="1499"/>
      <c r="M274" s="1499"/>
      <c r="N274" s="1041"/>
      <c r="O274" s="1041"/>
      <c r="P274" s="1041"/>
      <c r="Q274" s="1041"/>
      <c r="R274" s="1499"/>
      <c r="S274" s="1041"/>
      <c r="T274" s="1041"/>
      <c r="U274" s="450"/>
      <c r="V274" s="1041"/>
      <c r="W274" s="1041"/>
      <c r="X274" s="1041"/>
      <c r="Y274" s="1041"/>
      <c r="Z274" s="1041"/>
      <c r="AA274" s="1495"/>
      <c r="AB274" s="472"/>
      <c r="AC274" s="472"/>
      <c r="AD274" s="472"/>
      <c r="AE274" s="472"/>
    </row>
    <row r="275" spans="1:31" s="14431" customFormat="1" ht="11.25" customHeight="1">
      <c r="A275" s="876"/>
      <c r="B275" s="1499"/>
      <c r="C275" s="1499"/>
      <c r="D275" s="267"/>
      <c r="K275" s="1041"/>
      <c r="L275" s="1499"/>
      <c r="M275" s="1499"/>
      <c r="N275" s="1041"/>
      <c r="O275" s="1041"/>
      <c r="P275" s="1041"/>
      <c r="Q275" s="1041"/>
      <c r="R275" s="1499"/>
      <c r="S275" s="1041"/>
      <c r="T275" s="1041"/>
      <c r="U275" s="450"/>
      <c r="V275" s="1041"/>
      <c r="W275" s="1041"/>
      <c r="X275" s="1041"/>
      <c r="Y275" s="1041"/>
      <c r="Z275" s="1041"/>
      <c r="AA275" s="1495"/>
      <c r="AB275" s="472"/>
      <c r="AC275" s="472"/>
      <c r="AD275" s="472"/>
      <c r="AE275" s="472"/>
    </row>
    <row r="276" spans="1:31" s="14431" customFormat="1" ht="11.25" customHeight="1">
      <c r="A276" s="876"/>
      <c r="B276" s="1499"/>
      <c r="C276" s="1499"/>
      <c r="D276" s="267"/>
      <c r="K276" s="1041"/>
      <c r="L276" s="1499"/>
      <c r="M276" s="1499"/>
      <c r="N276" s="1041"/>
      <c r="O276" s="1041"/>
      <c r="P276" s="1041"/>
      <c r="Q276" s="1041"/>
      <c r="R276" s="1499"/>
      <c r="S276" s="1041"/>
      <c r="T276" s="1041"/>
      <c r="U276" s="450"/>
      <c r="V276" s="1041"/>
      <c r="W276" s="1041"/>
      <c r="X276" s="1041"/>
      <c r="Y276" s="1041"/>
      <c r="Z276" s="1041"/>
      <c r="AA276" s="1495"/>
      <c r="AB276" s="472"/>
      <c r="AC276" s="472"/>
      <c r="AD276" s="472"/>
      <c r="AE276" s="472"/>
    </row>
    <row r="277" spans="1:31" s="14431" customFormat="1" ht="11.25" customHeight="1">
      <c r="A277" s="876"/>
      <c r="B277" s="1499"/>
      <c r="C277" s="1499"/>
      <c r="D277" s="267"/>
      <c r="K277" s="1041"/>
      <c r="L277" s="1499"/>
      <c r="M277" s="1499"/>
      <c r="N277" s="1041"/>
      <c r="O277" s="1041"/>
      <c r="P277" s="1041"/>
      <c r="Q277" s="1041"/>
      <c r="R277" s="1499"/>
      <c r="S277" s="1041"/>
      <c r="T277" s="1041"/>
      <c r="U277" s="450"/>
      <c r="V277" s="1041"/>
      <c r="W277" s="1041"/>
      <c r="X277" s="1041"/>
      <c r="Y277" s="1041"/>
      <c r="Z277" s="1041"/>
      <c r="AA277" s="1495"/>
      <c r="AB277" s="472"/>
      <c r="AC277" s="472"/>
      <c r="AD277" s="472"/>
      <c r="AE277" s="472"/>
    </row>
    <row r="278" spans="1:31" s="14431" customFormat="1" ht="11.25" customHeight="1">
      <c r="A278" s="876"/>
      <c r="B278" s="1499"/>
      <c r="C278" s="1499"/>
      <c r="D278" s="267"/>
      <c r="K278" s="1041"/>
      <c r="L278" s="1499"/>
      <c r="M278" s="1499"/>
      <c r="N278" s="1041"/>
      <c r="O278" s="1041"/>
      <c r="P278" s="1041"/>
      <c r="Q278" s="1041"/>
      <c r="R278" s="1499"/>
      <c r="S278" s="1041"/>
      <c r="T278" s="1041"/>
      <c r="U278" s="450"/>
      <c r="V278" s="1041"/>
      <c r="W278" s="1041"/>
      <c r="X278" s="1041"/>
      <c r="Y278" s="1041"/>
      <c r="Z278" s="1041"/>
      <c r="AA278" s="1495"/>
      <c r="AB278" s="472"/>
      <c r="AC278" s="472"/>
      <c r="AD278" s="472"/>
      <c r="AE278" s="472"/>
    </row>
    <row r="279" spans="1:31" s="14431" customFormat="1" ht="11.25" customHeight="1">
      <c r="A279" s="876"/>
      <c r="B279" s="1499"/>
      <c r="C279" s="1499"/>
      <c r="D279" s="267"/>
      <c r="K279" s="1041"/>
      <c r="L279" s="1499"/>
      <c r="M279" s="1499"/>
      <c r="N279" s="1041"/>
      <c r="O279" s="1041"/>
      <c r="P279" s="1041"/>
      <c r="Q279" s="1041"/>
      <c r="R279" s="1499"/>
      <c r="S279" s="1041"/>
      <c r="T279" s="1041"/>
      <c r="U279" s="450"/>
      <c r="V279" s="1041"/>
      <c r="W279" s="1041"/>
      <c r="X279" s="1041"/>
      <c r="Y279" s="1041"/>
      <c r="Z279" s="1041"/>
      <c r="AA279" s="1495"/>
      <c r="AB279" s="472"/>
      <c r="AC279" s="472"/>
      <c r="AD279" s="472"/>
      <c r="AE279" s="472"/>
    </row>
    <row r="280" spans="1:31" s="14431" customFormat="1" ht="11.25" customHeight="1">
      <c r="A280" s="876"/>
      <c r="B280" s="1499"/>
      <c r="C280" s="1499"/>
      <c r="D280" s="267"/>
      <c r="K280" s="1041"/>
      <c r="L280" s="1499"/>
      <c r="M280" s="1499"/>
      <c r="N280" s="1041"/>
      <c r="O280" s="1041"/>
      <c r="P280" s="1041"/>
      <c r="Q280" s="1041"/>
      <c r="R280" s="1499"/>
      <c r="S280" s="1041"/>
      <c r="T280" s="1041"/>
      <c r="U280" s="450"/>
      <c r="V280" s="1041"/>
      <c r="W280" s="1041"/>
      <c r="X280" s="1041"/>
      <c r="Y280" s="1041"/>
      <c r="Z280" s="1041"/>
      <c r="AA280" s="1495"/>
      <c r="AB280" s="472"/>
      <c r="AC280" s="472"/>
      <c r="AD280" s="472"/>
      <c r="AE280" s="472"/>
    </row>
    <row r="281" spans="1:31" s="14431" customFormat="1" ht="11.25" customHeight="1">
      <c r="A281" s="876"/>
      <c r="B281" s="1499"/>
      <c r="C281" s="1499"/>
      <c r="D281" s="267"/>
      <c r="K281" s="1041"/>
      <c r="L281" s="1499"/>
      <c r="M281" s="1499"/>
      <c r="N281" s="1041"/>
      <c r="O281" s="1041"/>
      <c r="P281" s="1041"/>
      <c r="Q281" s="1041"/>
      <c r="R281" s="1499"/>
      <c r="S281" s="1041"/>
      <c r="T281" s="1041"/>
      <c r="U281" s="450"/>
      <c r="V281" s="1041"/>
      <c r="W281" s="1041"/>
      <c r="X281" s="1041"/>
      <c r="Y281" s="1041"/>
      <c r="Z281" s="1041"/>
      <c r="AA281" s="1495"/>
      <c r="AB281" s="472"/>
      <c r="AC281" s="472"/>
      <c r="AD281" s="472"/>
      <c r="AE281" s="472"/>
    </row>
    <row r="282" spans="1:31" s="14431" customFormat="1" ht="11.25" customHeight="1">
      <c r="A282" s="876"/>
      <c r="B282" s="1499"/>
      <c r="C282" s="1499"/>
      <c r="D282" s="267"/>
      <c r="K282" s="1041"/>
      <c r="L282" s="1499"/>
      <c r="M282" s="1499"/>
      <c r="N282" s="1041"/>
      <c r="O282" s="1041"/>
      <c r="P282" s="1041"/>
      <c r="Q282" s="1041"/>
      <c r="R282" s="1499"/>
      <c r="S282" s="1041"/>
      <c r="T282" s="1041"/>
      <c r="U282" s="450"/>
      <c r="V282" s="1041"/>
      <c r="W282" s="1041"/>
      <c r="X282" s="1041"/>
      <c r="Y282" s="1041"/>
      <c r="Z282" s="1041"/>
      <c r="AA282" s="1495"/>
      <c r="AB282" s="472"/>
      <c r="AC282" s="472"/>
      <c r="AD282" s="472"/>
      <c r="AE282" s="472"/>
    </row>
    <row r="283" spans="1:31" s="14431" customFormat="1" ht="11.25" customHeight="1">
      <c r="A283" s="876"/>
      <c r="B283" s="1499"/>
      <c r="C283" s="1499"/>
      <c r="D283" s="267"/>
      <c r="K283" s="1041"/>
      <c r="L283" s="1499"/>
      <c r="M283" s="1499"/>
      <c r="N283" s="1041"/>
      <c r="O283" s="1041"/>
      <c r="P283" s="1041"/>
      <c r="Q283" s="1041"/>
      <c r="R283" s="1499"/>
      <c r="S283" s="1041"/>
      <c r="T283" s="1041"/>
      <c r="U283" s="450"/>
      <c r="V283" s="1041"/>
      <c r="W283" s="1041"/>
      <c r="X283" s="1041"/>
      <c r="Y283" s="1041"/>
      <c r="Z283" s="1041"/>
      <c r="AA283" s="1495"/>
      <c r="AB283" s="472"/>
      <c r="AC283" s="472"/>
      <c r="AD283" s="472"/>
      <c r="AE283" s="472"/>
    </row>
    <row r="284" spans="1:31" s="14431" customFormat="1" ht="11.25" customHeight="1">
      <c r="A284" s="876"/>
      <c r="B284" s="1499"/>
      <c r="C284" s="1499"/>
      <c r="D284" s="267"/>
      <c r="K284" s="1041"/>
      <c r="L284" s="1499"/>
      <c r="M284" s="1499"/>
      <c r="N284" s="1041"/>
      <c r="O284" s="1041"/>
      <c r="P284" s="1041"/>
      <c r="Q284" s="1041"/>
      <c r="R284" s="1499"/>
      <c r="S284" s="1041"/>
      <c r="T284" s="1041"/>
      <c r="U284" s="450"/>
      <c r="V284" s="1041"/>
      <c r="W284" s="1041"/>
      <c r="X284" s="1041"/>
      <c r="Y284" s="1041"/>
      <c r="Z284" s="1041"/>
      <c r="AA284" s="1495"/>
      <c r="AB284" s="472"/>
      <c r="AC284" s="472"/>
      <c r="AD284" s="472"/>
      <c r="AE284" s="472"/>
    </row>
    <row r="285" spans="1:31" s="14431" customFormat="1" ht="11.25" customHeight="1">
      <c r="A285" s="876"/>
      <c r="B285" s="1499"/>
      <c r="C285" s="1499"/>
      <c r="D285" s="267"/>
      <c r="K285" s="1041"/>
      <c r="L285" s="1499"/>
      <c r="M285" s="1499"/>
      <c r="N285" s="1041"/>
      <c r="O285" s="1041"/>
      <c r="P285" s="1041"/>
      <c r="Q285" s="1041"/>
      <c r="R285" s="1499"/>
      <c r="S285" s="1041"/>
      <c r="T285" s="1041"/>
      <c r="U285" s="450"/>
      <c r="V285" s="1041"/>
      <c r="W285" s="1041"/>
      <c r="X285" s="1041"/>
      <c r="Y285" s="1041"/>
      <c r="Z285" s="1041"/>
      <c r="AA285" s="1495"/>
      <c r="AB285" s="472"/>
      <c r="AC285" s="472"/>
      <c r="AD285" s="472"/>
      <c r="AE285" s="472"/>
    </row>
    <row r="286" spans="1:31" s="14431" customFormat="1" ht="11.25" customHeight="1">
      <c r="A286" s="876"/>
      <c r="B286" s="1499"/>
      <c r="C286" s="1499"/>
      <c r="D286" s="267"/>
      <c r="K286" s="1041"/>
      <c r="L286" s="1499"/>
      <c r="M286" s="1499"/>
      <c r="N286" s="1041"/>
      <c r="O286" s="1041"/>
      <c r="P286" s="1041"/>
      <c r="Q286" s="1041"/>
      <c r="R286" s="1499"/>
      <c r="S286" s="1041"/>
      <c r="T286" s="1041"/>
      <c r="U286" s="450"/>
      <c r="V286" s="1041"/>
      <c r="W286" s="1041"/>
      <c r="X286" s="1041"/>
      <c r="Y286" s="1041"/>
      <c r="Z286" s="1041"/>
      <c r="AA286" s="1495"/>
      <c r="AB286" s="472"/>
      <c r="AC286" s="472"/>
      <c r="AD286" s="472"/>
      <c r="AE286" s="472"/>
    </row>
    <row r="287" spans="1:31" s="14431" customFormat="1" ht="11.25" customHeight="1">
      <c r="A287" s="876"/>
      <c r="B287" s="1499"/>
      <c r="C287" s="1499"/>
      <c r="D287" s="267"/>
      <c r="K287" s="1041"/>
      <c r="L287" s="1499"/>
      <c r="M287" s="1499"/>
      <c r="N287" s="1041"/>
      <c r="O287" s="1041"/>
      <c r="P287" s="1041"/>
      <c r="Q287" s="1041"/>
      <c r="R287" s="1499"/>
      <c r="S287" s="1041"/>
      <c r="T287" s="1041"/>
      <c r="U287" s="450"/>
      <c r="V287" s="1041"/>
      <c r="W287" s="1041"/>
      <c r="X287" s="1041"/>
      <c r="Y287" s="1041"/>
      <c r="Z287" s="1041"/>
      <c r="AA287" s="1495"/>
      <c r="AB287" s="472"/>
      <c r="AC287" s="472"/>
      <c r="AD287" s="472"/>
      <c r="AE287" s="472"/>
    </row>
    <row r="288" spans="1:31" s="14431" customFormat="1" ht="11.25" customHeight="1">
      <c r="A288" s="876"/>
      <c r="B288" s="1499"/>
      <c r="C288" s="1499"/>
      <c r="D288" s="267"/>
      <c r="K288" s="1041"/>
      <c r="L288" s="1499"/>
      <c r="M288" s="1499"/>
      <c r="N288" s="1041"/>
      <c r="O288" s="1041"/>
      <c r="P288" s="1041"/>
      <c r="Q288" s="1041"/>
      <c r="R288" s="1499"/>
      <c r="S288" s="1041"/>
      <c r="T288" s="1041"/>
      <c r="U288" s="450"/>
      <c r="V288" s="1041"/>
      <c r="W288" s="1041"/>
      <c r="X288" s="1041"/>
      <c r="Y288" s="1041"/>
      <c r="Z288" s="1041"/>
      <c r="AA288" s="1495"/>
      <c r="AB288" s="472"/>
      <c r="AC288" s="472"/>
      <c r="AD288" s="472"/>
      <c r="AE288" s="472"/>
    </row>
    <row r="292" spans="1:31" ht="11.25" customHeight="1">
      <c r="A292" s="879"/>
      <c r="B292" s="1494"/>
      <c r="D292" s="1494"/>
      <c r="K292" s="1494"/>
      <c r="N292" s="1494"/>
      <c r="O292" s="1494"/>
      <c r="P292" s="1494"/>
      <c r="Q292" s="1494"/>
      <c r="S292" s="1494"/>
      <c r="T292" s="1494"/>
      <c r="U292" s="1494"/>
      <c r="V292" s="1494"/>
      <c r="W292" s="1494"/>
      <c r="X292" s="1494"/>
      <c r="Y292" s="1494"/>
      <c r="Z292" s="1494"/>
      <c r="AA292" s="1494"/>
      <c r="AB292" s="1494"/>
      <c r="AC292" s="1494"/>
      <c r="AD292" s="1494"/>
      <c r="AE292" s="1494"/>
    </row>
    <row r="293" spans="1:31" ht="11.25" customHeight="1">
      <c r="A293" s="879"/>
      <c r="B293" s="1494"/>
      <c r="D293" s="1494"/>
      <c r="K293" s="1494"/>
      <c r="N293" s="1494"/>
      <c r="O293" s="1494"/>
      <c r="P293" s="1494"/>
      <c r="Q293" s="1494"/>
      <c r="S293" s="1494"/>
      <c r="T293" s="1494"/>
      <c r="U293" s="1494"/>
      <c r="V293" s="1494"/>
      <c r="W293" s="1494"/>
      <c r="X293" s="1494"/>
      <c r="Y293" s="1494"/>
      <c r="Z293" s="1494"/>
      <c r="AA293" s="1494"/>
      <c r="AB293" s="1494"/>
      <c r="AC293" s="1494"/>
      <c r="AD293" s="1494"/>
      <c r="AE293" s="1494"/>
    </row>
    <row r="294" spans="1:31" ht="11.25" customHeight="1">
      <c r="A294" s="879"/>
      <c r="B294" s="1494"/>
      <c r="D294" s="1494"/>
      <c r="K294" s="1494"/>
      <c r="N294" s="1494"/>
      <c r="O294" s="1494"/>
      <c r="P294" s="1494"/>
      <c r="Q294" s="1494"/>
      <c r="S294" s="1494"/>
      <c r="T294" s="1494"/>
      <c r="U294" s="1494"/>
      <c r="V294" s="1494"/>
      <c r="W294" s="1494"/>
      <c r="X294" s="1494"/>
      <c r="Y294" s="1494"/>
      <c r="Z294" s="1494"/>
      <c r="AA294" s="1494"/>
      <c r="AB294" s="1494"/>
      <c r="AC294" s="1494"/>
      <c r="AD294" s="1494"/>
      <c r="AE294" s="1494"/>
    </row>
    <row r="295" spans="1:31" ht="11.25" customHeight="1">
      <c r="A295" s="879"/>
      <c r="B295" s="1494"/>
      <c r="D295" s="1494"/>
      <c r="K295" s="1494"/>
      <c r="N295" s="1494"/>
      <c r="O295" s="1494"/>
      <c r="P295" s="1494"/>
      <c r="Q295" s="1494"/>
      <c r="S295" s="1494"/>
      <c r="T295" s="1494"/>
      <c r="U295" s="1494"/>
      <c r="V295" s="1494"/>
      <c r="W295" s="1494"/>
      <c r="X295" s="1494"/>
      <c r="Y295" s="1494"/>
      <c r="Z295" s="1494"/>
      <c r="AA295" s="1494"/>
      <c r="AB295" s="1494"/>
      <c r="AC295" s="1494"/>
      <c r="AD295" s="1494"/>
      <c r="AE295" s="1494"/>
    </row>
    <row r="296" spans="1:31" ht="11.25" customHeight="1">
      <c r="A296" s="879"/>
      <c r="B296" s="1494"/>
      <c r="D296" s="1494"/>
      <c r="K296" s="1494"/>
      <c r="N296" s="1494"/>
      <c r="O296" s="1494"/>
      <c r="P296" s="1494"/>
      <c r="Q296" s="1494"/>
      <c r="S296" s="1494"/>
      <c r="T296" s="1494"/>
      <c r="U296" s="1494"/>
      <c r="V296" s="1494"/>
      <c r="W296" s="1494"/>
      <c r="X296" s="1494"/>
      <c r="Y296" s="1494"/>
      <c r="Z296" s="1494"/>
      <c r="AA296" s="1494"/>
      <c r="AB296" s="1494"/>
      <c r="AC296" s="1494"/>
      <c r="AD296" s="1494"/>
      <c r="AE296" s="1494"/>
    </row>
    <row r="297" spans="1:31" ht="11.25" customHeight="1">
      <c r="A297" s="879"/>
      <c r="B297" s="1494"/>
      <c r="D297" s="1494"/>
      <c r="K297" s="1494"/>
      <c r="N297" s="1494"/>
      <c r="O297" s="1494"/>
      <c r="P297" s="1494"/>
      <c r="Q297" s="1494"/>
      <c r="S297" s="1494"/>
      <c r="T297" s="1494"/>
      <c r="U297" s="1494"/>
      <c r="V297" s="1494"/>
      <c r="W297" s="1494"/>
      <c r="X297" s="1494"/>
      <c r="Y297" s="1494"/>
      <c r="Z297" s="1494"/>
      <c r="AA297" s="1494"/>
      <c r="AB297" s="1494"/>
      <c r="AC297" s="1494"/>
      <c r="AD297" s="1494"/>
      <c r="AE297" s="1494"/>
    </row>
    <row r="298" spans="1:31" ht="11.25" customHeight="1">
      <c r="A298" s="879"/>
      <c r="B298" s="1494"/>
      <c r="D298" s="1494"/>
      <c r="K298" s="1494"/>
      <c r="N298" s="1494"/>
      <c r="O298" s="1494"/>
      <c r="P298" s="1494"/>
      <c r="Q298" s="1494"/>
      <c r="S298" s="1494"/>
      <c r="T298" s="1494"/>
      <c r="U298" s="1494"/>
      <c r="V298" s="1494"/>
      <c r="W298" s="1494"/>
      <c r="X298" s="1494"/>
      <c r="Y298" s="1494"/>
      <c r="Z298" s="1494"/>
      <c r="AA298" s="1494"/>
      <c r="AB298" s="1494"/>
      <c r="AC298" s="1494"/>
      <c r="AD298" s="1494"/>
      <c r="AE298" s="1494"/>
    </row>
    <row r="299" spans="1:31" ht="11.25" customHeight="1">
      <c r="A299" s="879"/>
      <c r="B299" s="1494"/>
      <c r="D299" s="1494"/>
      <c r="K299" s="1494"/>
      <c r="N299" s="1494"/>
      <c r="O299" s="1494"/>
      <c r="P299" s="1494"/>
      <c r="Q299" s="1494"/>
      <c r="S299" s="1494"/>
      <c r="T299" s="1494"/>
      <c r="U299" s="1494"/>
      <c r="V299" s="1494"/>
      <c r="W299" s="1494"/>
      <c r="X299" s="1494"/>
      <c r="Y299" s="1494"/>
      <c r="Z299" s="1494"/>
      <c r="AA299" s="1494"/>
      <c r="AB299" s="1494"/>
      <c r="AC299" s="1494"/>
      <c r="AD299" s="1494"/>
      <c r="AE299" s="1494"/>
    </row>
    <row r="300" spans="1:31" ht="11.25" customHeight="1">
      <c r="A300" s="879"/>
      <c r="B300" s="1494"/>
      <c r="D300" s="1494"/>
      <c r="K300" s="1494"/>
      <c r="N300" s="1494"/>
      <c r="O300" s="1494"/>
      <c r="P300" s="1494"/>
      <c r="Q300" s="1494"/>
      <c r="S300" s="1494"/>
      <c r="T300" s="1494"/>
      <c r="U300" s="1494"/>
      <c r="V300" s="1494"/>
      <c r="W300" s="1494"/>
      <c r="X300" s="1494"/>
      <c r="Y300" s="1494"/>
      <c r="Z300" s="1494"/>
      <c r="AA300" s="1494"/>
      <c r="AB300" s="1494"/>
      <c r="AC300" s="1494"/>
      <c r="AD300" s="1494"/>
      <c r="AE300" s="1494"/>
    </row>
    <row r="301" spans="1:31" ht="11.25" customHeight="1">
      <c r="A301" s="879"/>
      <c r="B301" s="1494"/>
      <c r="D301" s="1494"/>
      <c r="K301" s="1494"/>
      <c r="N301" s="1494"/>
      <c r="O301" s="1494"/>
      <c r="P301" s="1494"/>
      <c r="Q301" s="1494"/>
      <c r="S301" s="1494"/>
      <c r="T301" s="1494"/>
      <c r="U301" s="1494"/>
      <c r="V301" s="1494"/>
      <c r="W301" s="1494"/>
      <c r="X301" s="1494"/>
      <c r="Y301" s="1494"/>
      <c r="Z301" s="1494"/>
      <c r="AA301" s="1494"/>
      <c r="AB301" s="1494"/>
      <c r="AC301" s="1494"/>
      <c r="AD301" s="1494"/>
      <c r="AE301" s="1494"/>
    </row>
    <row r="302" spans="1:31" ht="11.25" customHeight="1">
      <c r="A302" s="879"/>
      <c r="B302" s="1494"/>
      <c r="D302" s="1494"/>
      <c r="K302" s="1494"/>
      <c r="N302" s="1494"/>
      <c r="O302" s="1494"/>
      <c r="P302" s="1494"/>
      <c r="Q302" s="1494"/>
      <c r="S302" s="1494"/>
      <c r="T302" s="1494"/>
      <c r="U302" s="1494"/>
      <c r="V302" s="1494"/>
      <c r="W302" s="1494"/>
      <c r="X302" s="1494"/>
      <c r="Y302" s="1494"/>
      <c r="Z302" s="1494"/>
      <c r="AA302" s="1494"/>
      <c r="AB302" s="1494"/>
      <c r="AC302" s="1494"/>
      <c r="AD302" s="1494"/>
      <c r="AE302" s="149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5864" hidden="1" customWidth="1"/>
    <col min="2" max="2" width="17" style="14406" hidden="1" customWidth="1"/>
    <col min="3" max="3" width="3.7109375" style="14409" customWidth="1"/>
    <col min="4" max="4" width="1.85546875" style="14409" hidden="1" customWidth="1"/>
    <col min="5" max="6" width="7.7109375" style="14409" customWidth="1"/>
    <col min="7" max="7" width="29.7109375" style="14409" customWidth="1"/>
    <col min="8" max="8" width="3.7109375" style="14409" customWidth="1"/>
    <col min="9" max="9" width="5.42578125" style="14409" customWidth="1"/>
    <col min="10" max="10" width="24.5703125" style="14409" customWidth="1"/>
    <col min="11" max="11" width="24.42578125" style="14409" customWidth="1"/>
    <col min="12" max="12" width="3.7109375" style="14409" customWidth="1"/>
    <col min="13" max="13" width="6.28515625" style="14409" customWidth="1"/>
    <col min="14" max="14" width="25.85546875" style="14409" customWidth="1"/>
    <col min="15" max="18" width="18.7109375" style="14409" customWidth="1"/>
    <col min="19" max="19" width="93.42578125" style="14409" customWidth="1"/>
    <col min="20" max="20" width="10.5703125" style="14409" customWidth="1"/>
    <col min="21" max="21" width="10.5703125" style="15865" customWidth="1"/>
    <col min="22" max="22" width="11.7109375" style="15865" customWidth="1"/>
    <col min="23" max="23" width="10.5703125" style="15866" customWidth="1"/>
    <col min="24" max="27" width="10.5703125" style="14406" customWidth="1"/>
    <col min="28" max="83" width="9.140625" style="14409"/>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9"/>
      <c r="L4" s="89"/>
      <c r="M4" s="89"/>
    </row>
    <row r="5" spans="1:83" ht="28.5" customHeight="1">
      <c r="C5" s="416"/>
      <c r="D5" s="945"/>
      <c r="E5" s="1610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6108"/>
      <c r="G5" s="16108"/>
      <c r="H5" s="16108"/>
      <c r="I5" s="16108"/>
      <c r="J5" s="16108"/>
      <c r="K5" s="16108"/>
      <c r="L5" s="515"/>
      <c r="M5" s="515"/>
    </row>
    <row r="6" spans="1:83" s="14361" customFormat="1" ht="16.5" customHeight="1">
      <c r="A6" s="512"/>
      <c r="B6" s="657"/>
      <c r="C6" s="416"/>
      <c r="D6" s="946"/>
      <c r="E6" s="16056" t="str">
        <f>IF(org=0,"Не определено",org)</f>
        <v>АО "Мурманэнергосбыт"</v>
      </c>
      <c r="F6" s="16056"/>
      <c r="G6" s="16056"/>
      <c r="H6" s="16056"/>
      <c r="I6" s="16056"/>
      <c r="J6" s="16056"/>
      <c r="K6" s="16056"/>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4405"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15963" t="s">
        <v>437</v>
      </c>
      <c r="F9" s="15968"/>
      <c r="G9" s="15968"/>
      <c r="H9" s="15968"/>
      <c r="I9" s="15968"/>
      <c r="J9" s="15968"/>
      <c r="K9" s="15968"/>
      <c r="L9" s="15968"/>
      <c r="M9" s="15968"/>
      <c r="N9" s="15968"/>
      <c r="O9" s="15968"/>
      <c r="P9" s="15968"/>
      <c r="Q9" s="15968"/>
      <c r="R9" s="15962"/>
      <c r="S9" s="15992" t="s">
        <v>438</v>
      </c>
      <c r="T9" s="251"/>
    </row>
    <row r="10" spans="1:83" ht="33.75" customHeight="1">
      <c r="D10" s="457" t="s">
        <v>87</v>
      </c>
      <c r="E10" s="15992" t="s">
        <v>87</v>
      </c>
      <c r="F10" s="15992"/>
      <c r="G10" s="428" t="s">
        <v>439</v>
      </c>
      <c r="H10" s="15992" t="s">
        <v>87</v>
      </c>
      <c r="I10" s="15992"/>
      <c r="J10" s="428" t="s">
        <v>740</v>
      </c>
      <c r="K10" s="428" t="s">
        <v>741</v>
      </c>
      <c r="L10" s="15992" t="s">
        <v>87</v>
      </c>
      <c r="M10" s="15992"/>
      <c r="N10" s="428" t="s">
        <v>742</v>
      </c>
      <c r="O10" s="428" t="s">
        <v>743</v>
      </c>
      <c r="P10" s="428" t="s">
        <v>744</v>
      </c>
      <c r="Q10" s="428" t="s">
        <v>745</v>
      </c>
      <c r="R10" s="428" t="s">
        <v>746</v>
      </c>
      <c r="S10" s="15992"/>
      <c r="T10" s="251"/>
    </row>
    <row r="11" spans="1:83" s="14421" customFormat="1" ht="15" hidden="1" customHeight="1">
      <c r="A11" s="940"/>
      <c r="D11" s="913" t="s">
        <v>147</v>
      </c>
      <c r="E11" s="913"/>
      <c r="F11" s="913" t="s">
        <v>102</v>
      </c>
      <c r="G11" s="913" t="s">
        <v>89</v>
      </c>
      <c r="H11" s="913"/>
      <c r="I11" s="913" t="s">
        <v>90</v>
      </c>
      <c r="J11" s="913" t="s">
        <v>117</v>
      </c>
      <c r="K11" s="913" t="s">
        <v>91</v>
      </c>
      <c r="L11" s="913"/>
      <c r="M11" s="913" t="s">
        <v>92</v>
      </c>
      <c r="N11" s="913" t="s">
        <v>132</v>
      </c>
      <c r="O11" s="913" t="s">
        <v>136</v>
      </c>
      <c r="P11" s="913" t="s">
        <v>128</v>
      </c>
      <c r="Q11" s="913" t="s">
        <v>138</v>
      </c>
      <c r="R11" s="913" t="s">
        <v>183</v>
      </c>
      <c r="S11" s="913" t="s">
        <v>184</v>
      </c>
      <c r="U11" s="513"/>
      <c r="V11" s="513"/>
      <c r="W11" s="513"/>
    </row>
    <row r="12" spans="1:83" s="15863" customFormat="1" ht="0.75" customHeight="1">
      <c r="A12" s="517"/>
      <c r="B12" s="278"/>
      <c r="D12" s="454"/>
      <c r="E12" s="262"/>
      <c r="F12" s="262"/>
      <c r="Q12" s="518"/>
      <c r="R12" s="519"/>
      <c r="T12" s="520"/>
      <c r="U12" s="521"/>
      <c r="V12" s="521"/>
      <c r="W12" s="522"/>
      <c r="X12" s="278"/>
      <c r="Y12" s="278"/>
      <c r="Z12" s="278"/>
      <c r="AA12" s="278"/>
    </row>
    <row r="13" spans="1:83" s="14405" customFormat="1" ht="0.75" customHeight="1">
      <c r="A13" s="523"/>
      <c r="B13" s="472"/>
      <c r="D13" s="454" t="s">
        <v>513</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4395" customFormat="1" ht="15" hidden="1" customHeight="1">
      <c r="A14" s="525" t="s">
        <v>152</v>
      </c>
      <c r="B14" s="526"/>
      <c r="C14" s="526"/>
      <c r="D14" s="16214" t="s">
        <v>147</v>
      </c>
      <c r="E14" s="16211" t="s">
        <v>143</v>
      </c>
      <c r="F14" s="16212"/>
      <c r="G14" s="16213"/>
      <c r="H14" s="16217">
        <f>IF(A14="","",INDEX(DIFFERENTIATION_UNMERGE_VD,MATCH(A14,DIFFERENTIATION_ID_DIFF,0)))</f>
        <v>0</v>
      </c>
      <c r="I14" s="16217"/>
      <c r="J14" s="16217"/>
      <c r="K14" s="16217"/>
      <c r="L14" s="16217"/>
      <c r="M14" s="16217"/>
      <c r="N14" s="16217"/>
      <c r="O14" s="16217"/>
      <c r="P14" s="16217"/>
      <c r="Q14" s="16217"/>
      <c r="R14" s="16217"/>
      <c r="S14" s="619"/>
      <c r="T14" s="616"/>
      <c r="U14" s="527"/>
      <c r="V14" s="527"/>
      <c r="W14" s="528"/>
      <c r="X14" s="528"/>
      <c r="Y14" s="528"/>
      <c r="Z14" s="528"/>
      <c r="AA14" s="529"/>
      <c r="AB14" s="530"/>
      <c r="AC14" s="16209"/>
      <c r="AD14" s="531"/>
      <c r="AE14" s="532" t="s">
        <v>24</v>
      </c>
      <c r="AF14" s="532"/>
      <c r="AG14" s="533" t="s">
        <v>747</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4395" customFormat="1" ht="15" hidden="1" customHeight="1">
      <c r="A15" s="525"/>
      <c r="B15" s="526"/>
      <c r="C15" s="526"/>
      <c r="D15" s="16215"/>
      <c r="E15" s="16211" t="s">
        <v>702</v>
      </c>
      <c r="F15" s="16212"/>
      <c r="G15" s="16213"/>
      <c r="H15" s="16217" t="str">
        <f>IF(A14="","",INDEX(DIFFERENTIATION_UNMERGE_AREA,MATCH(A14,DIFFERENTIATION_ID_DIFF,0)))</f>
        <v/>
      </c>
      <c r="I15" s="16217"/>
      <c r="J15" s="16217"/>
      <c r="K15" s="16217"/>
      <c r="L15" s="16217"/>
      <c r="M15" s="16217"/>
      <c r="N15" s="16217"/>
      <c r="O15" s="16217"/>
      <c r="P15" s="16217"/>
      <c r="Q15" s="16217"/>
      <c r="R15" s="16217"/>
      <c r="S15" s="619"/>
      <c r="T15" s="616"/>
      <c r="U15" s="527"/>
      <c r="V15" s="527"/>
      <c r="W15" s="528"/>
      <c r="X15" s="528"/>
      <c r="Y15" s="528"/>
      <c r="Z15" s="528"/>
      <c r="AA15" s="529"/>
      <c r="AB15" s="530"/>
      <c r="AC15" s="16209"/>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4395" customFormat="1" ht="15" hidden="1" customHeight="1">
      <c r="A16" s="525"/>
      <c r="B16" s="526"/>
      <c r="C16" s="526"/>
      <c r="D16" s="16215"/>
      <c r="E16" s="16211" t="s">
        <v>703</v>
      </c>
      <c r="F16" s="16212"/>
      <c r="G16" s="16213"/>
      <c r="H16" s="16217" t="str">
        <f>IF(A14="","",INDEX(DIFFERENTIATION_UNMERGE_SYSTEM,MATCH(A14,DIFFERENTIATION_ID_DIFF,0)))</f>
        <v>без дифференциации</v>
      </c>
      <c r="I16" s="16217"/>
      <c r="J16" s="16217"/>
      <c r="K16" s="16217"/>
      <c r="L16" s="16217"/>
      <c r="M16" s="16217"/>
      <c r="N16" s="16217"/>
      <c r="O16" s="16217"/>
      <c r="P16" s="16217"/>
      <c r="Q16" s="16217"/>
      <c r="R16" s="16217"/>
      <c r="S16" s="619"/>
      <c r="T16" s="616"/>
      <c r="U16" s="527"/>
      <c r="V16" s="527"/>
      <c r="W16" s="528"/>
      <c r="X16" s="528"/>
      <c r="Y16" s="528"/>
      <c r="Z16" s="528"/>
      <c r="AA16" s="529"/>
      <c r="AB16" s="530"/>
      <c r="AC16" s="16209"/>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4395" customFormat="1" ht="22.5" hidden="1" customHeight="1">
      <c r="A17" s="535"/>
      <c r="B17" s="332"/>
      <c r="C17" s="327"/>
      <c r="D17" s="16215"/>
      <c r="E17" s="16210" t="s">
        <v>748</v>
      </c>
      <c r="F17" s="16210"/>
      <c r="G17" s="16210"/>
      <c r="H17" s="16210"/>
      <c r="I17" s="16210"/>
      <c r="J17" s="16210"/>
      <c r="K17" s="16210"/>
      <c r="L17" s="16210"/>
      <c r="M17" s="16210"/>
      <c r="N17" s="16210"/>
      <c r="O17" s="16210"/>
      <c r="P17" s="16210"/>
      <c r="Q17" s="464">
        <f>SUMIF(T18:T19,"i",Q18:Q19)</f>
        <v>0</v>
      </c>
      <c r="R17" s="905"/>
      <c r="S17" s="791" t="s">
        <v>749</v>
      </c>
      <c r="T17" s="617" t="s">
        <v>750</v>
      </c>
      <c r="U17" s="16123">
        <v>1</v>
      </c>
      <c r="V17" s="16123" t="str">
        <f>INDEX(B_FHD_FLAG_INDEX_1,1,MATCH(A14,B_FHD_FLAG_DIFFERENTIATION,0))</f>
        <v>отсутствует</v>
      </c>
      <c r="W17" s="332"/>
      <c r="X17" s="332"/>
      <c r="Y17" s="332"/>
      <c r="Z17" s="332"/>
      <c r="AA17" s="418"/>
      <c r="AB17" s="332"/>
      <c r="AC17" s="16209"/>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4395" customFormat="1" ht="11.25" hidden="1" customHeight="1">
      <c r="A18" s="536"/>
      <c r="B18" s="418"/>
      <c r="C18" s="418"/>
      <c r="D18" s="16215"/>
      <c r="E18" s="537"/>
      <c r="F18" s="537">
        <v>0</v>
      </c>
      <c r="G18" s="537"/>
      <c r="H18" s="537"/>
      <c r="I18" s="537"/>
      <c r="J18" s="537"/>
      <c r="K18" s="537"/>
      <c r="L18" s="537"/>
      <c r="M18" s="537"/>
      <c r="N18" s="537"/>
      <c r="O18" s="537"/>
      <c r="P18" s="537"/>
      <c r="Q18" s="537"/>
      <c r="R18" s="537"/>
      <c r="S18" s="538"/>
      <c r="T18" s="618"/>
      <c r="U18" s="16123"/>
      <c r="V18" s="16123"/>
      <c r="W18" s="418"/>
      <c r="X18" s="418"/>
      <c r="Y18" s="418"/>
      <c r="Z18" s="418"/>
      <c r="AA18" s="418"/>
      <c r="AB18" s="332"/>
      <c r="AC18" s="16209"/>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4395" customFormat="1" ht="11.25" hidden="1" customHeight="1">
      <c r="A19" s="535"/>
      <c r="B19" s="332"/>
      <c r="C19" s="327"/>
      <c r="D19" s="16215"/>
      <c r="E19" s="551" t="s">
        <v>24</v>
      </c>
      <c r="F19" s="552" t="s">
        <v>24</v>
      </c>
      <c r="G19" s="552" t="s">
        <v>24</v>
      </c>
      <c r="H19" s="553" t="s">
        <v>24</v>
      </c>
      <c r="I19" s="553"/>
      <c r="J19" s="553"/>
      <c r="K19" s="553"/>
      <c r="L19" s="553"/>
      <c r="M19" s="553"/>
      <c r="N19" s="553"/>
      <c r="O19" s="553"/>
      <c r="P19" s="553"/>
      <c r="Q19" s="553"/>
      <c r="R19" s="554"/>
      <c r="S19" s="908"/>
      <c r="T19" s="618"/>
      <c r="U19" s="16123"/>
      <c r="V19" s="16123"/>
      <c r="W19" s="332"/>
      <c r="X19" s="332"/>
      <c r="Y19" s="332"/>
      <c r="Z19" s="332"/>
      <c r="AA19" s="418"/>
      <c r="AB19" s="332"/>
      <c r="AC19" s="16209"/>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4395" customFormat="1" ht="22.5" hidden="1" customHeight="1">
      <c r="A20" s="535"/>
      <c r="B20" s="332"/>
      <c r="C20" s="327"/>
      <c r="D20" s="16215"/>
      <c r="E20" s="16210" t="s">
        <v>751</v>
      </c>
      <c r="F20" s="16210"/>
      <c r="G20" s="16210"/>
      <c r="H20" s="16210"/>
      <c r="I20" s="16210"/>
      <c r="J20" s="16210"/>
      <c r="K20" s="16210"/>
      <c r="L20" s="16210"/>
      <c r="M20" s="16210"/>
      <c r="N20" s="16210"/>
      <c r="O20" s="16210"/>
      <c r="P20" s="16210"/>
      <c r="Q20" s="464">
        <f>SUMIF(T21:T22,"i",Q21:Q22)</f>
        <v>0</v>
      </c>
      <c r="R20" s="905"/>
      <c r="S20" s="609" t="s">
        <v>752</v>
      </c>
      <c r="T20" s="617" t="s">
        <v>750</v>
      </c>
      <c r="U20" s="16123">
        <v>2</v>
      </c>
      <c r="V20" s="16123"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4395" customFormat="1" ht="11.25" hidden="1" customHeight="1">
      <c r="A21" s="608"/>
      <c r="B21" s="418"/>
      <c r="C21" s="418"/>
      <c r="D21" s="16215"/>
      <c r="E21" s="537"/>
      <c r="F21" s="537">
        <v>0</v>
      </c>
      <c r="G21" s="537"/>
      <c r="H21" s="537"/>
      <c r="I21" s="537"/>
      <c r="J21" s="537"/>
      <c r="K21" s="537"/>
      <c r="L21" s="537"/>
      <c r="M21" s="537"/>
      <c r="N21" s="537"/>
      <c r="O21" s="537"/>
      <c r="P21" s="537"/>
      <c r="Q21" s="537"/>
      <c r="R21" s="537"/>
      <c r="S21" s="538"/>
      <c r="T21" s="618"/>
      <c r="U21" s="16123"/>
      <c r="V21" s="16123"/>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4395" customFormat="1" ht="11.25" hidden="1" customHeight="1">
      <c r="A22" s="535"/>
      <c r="B22" s="332"/>
      <c r="C22" s="327"/>
      <c r="D22" s="16216"/>
      <c r="E22" s="551" t="s">
        <v>24</v>
      </c>
      <c r="F22" s="552" t="s">
        <v>24</v>
      </c>
      <c r="G22" s="552" t="s">
        <v>24</v>
      </c>
      <c r="H22" s="553" t="s">
        <v>24</v>
      </c>
      <c r="I22" s="553"/>
      <c r="J22" s="553"/>
      <c r="K22" s="553"/>
      <c r="L22" s="553"/>
      <c r="M22" s="553"/>
      <c r="N22" s="553"/>
      <c r="O22" s="553"/>
      <c r="P22" s="553"/>
      <c r="Q22" s="553"/>
      <c r="R22" s="554"/>
      <c r="S22" s="908"/>
      <c r="T22" s="618"/>
      <c r="U22" s="16123"/>
      <c r="V22" s="16123"/>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1"/>
    </row>
    <row r="24" spans="1:83" ht="11.25" customHeight="1">
      <c r="D24" s="416"/>
    </row>
    <row r="25" spans="1:83" ht="11.25" customHeight="1">
      <c r="D25" s="556"/>
      <c r="E25" s="556"/>
      <c r="F25" s="556"/>
      <c r="G25" s="557"/>
    </row>
    <row r="27" spans="1:83" ht="11.25" customHeight="1">
      <c r="D27" s="558"/>
      <c r="E27" s="16218"/>
      <c r="F27" s="16218"/>
      <c r="G27" s="16218"/>
      <c r="H27" s="16218"/>
      <c r="I27" s="16218"/>
      <c r="J27" s="16218"/>
      <c r="K27" s="16218"/>
      <c r="L27" s="16218"/>
      <c r="M27" s="16218"/>
      <c r="N27" s="16218"/>
      <c r="O27" s="16218"/>
      <c r="P27" s="16218"/>
      <c r="Q27" s="16218"/>
      <c r="R27" s="16218"/>
    </row>
    <row r="28" spans="1:83" ht="11.25" customHeight="1">
      <c r="F28" s="656"/>
      <c r="G28" s="65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5860" hidden="1" customWidth="1"/>
    <col min="2" max="2" width="16.85546875" style="14419" hidden="1" customWidth="1"/>
    <col min="3" max="3" width="5.5703125" style="14432" hidden="1" customWidth="1"/>
    <col min="4" max="4" width="3.7109375" style="15861" customWidth="1"/>
    <col min="5" max="5" width="7.7109375" style="14433" customWidth="1"/>
    <col min="6" max="6" width="56.140625" style="14433" customWidth="1"/>
    <col min="7" max="7" width="10.42578125" style="14433" customWidth="1"/>
    <col min="8" max="8" width="40.7109375" style="14433" hidden="1" customWidth="1"/>
    <col min="9" max="9" width="40.7109375" style="14433" customWidth="1"/>
    <col min="10" max="10" width="102.85546875" style="14433" customWidth="1"/>
    <col min="11" max="11" width="9.7109375" style="14419" customWidth="1"/>
    <col min="12" max="12" width="5.28515625" style="14432" customWidth="1"/>
    <col min="13" max="13" width="3.7109375" style="14432" customWidth="1"/>
    <col min="14" max="17" width="3.7109375" style="14419" customWidth="1"/>
    <col min="18" max="18" width="10.5703125" style="14432" customWidth="1"/>
    <col min="19" max="19" width="34.7109375" style="14419" customWidth="1"/>
    <col min="20" max="20" width="9.42578125" style="14419" customWidth="1"/>
    <col min="21" max="21" width="9.140625" style="15862"/>
    <col min="22" max="26" width="9.140625" style="14419"/>
    <col min="27" max="31" width="9.140625" style="15856"/>
  </cols>
  <sheetData>
    <row r="1" spans="1:31" s="14419" customFormat="1" ht="11.25" hidden="1" customHeight="1">
      <c r="A1" s="876"/>
      <c r="C1" s="1499"/>
      <c r="D1" s="443"/>
      <c r="H1" s="1041">
        <v>4</v>
      </c>
      <c r="I1" s="1041">
        <v>4</v>
      </c>
      <c r="L1" s="1499"/>
      <c r="M1" s="1499"/>
      <c r="R1" s="1499"/>
    </row>
    <row r="2" spans="1:31" s="14419" customFormat="1" ht="22.5" hidden="1" customHeight="1">
      <c r="A2" s="876"/>
      <c r="C2" s="1499"/>
      <c r="D2" s="444"/>
      <c r="E2" s="1500"/>
      <c r="F2" s="446"/>
      <c r="G2" s="1502" t="s">
        <v>690</v>
      </c>
      <c r="H2" s="447"/>
      <c r="I2" s="447"/>
      <c r="J2" s="448" t="s">
        <v>753</v>
      </c>
      <c r="K2" s="449"/>
      <c r="L2" s="1499"/>
      <c r="M2" s="1499"/>
      <c r="R2" s="1499"/>
      <c r="U2" s="450"/>
      <c r="AA2" s="1495"/>
      <c r="AB2" s="1495"/>
      <c r="AC2" s="1495"/>
      <c r="AD2" s="1495"/>
      <c r="AE2" s="1495"/>
    </row>
    <row r="3" spans="1:31" ht="11.25" hidden="1" customHeight="1"/>
    <row r="4" spans="1:31" s="15856" customFormat="1" ht="11.25" hidden="1" customHeight="1">
      <c r="A4" s="876"/>
      <c r="B4" s="1041"/>
      <c r="C4" s="1499"/>
      <c r="D4" s="278"/>
      <c r="J4" s="1495">
        <v>4</v>
      </c>
      <c r="K4" s="1041"/>
      <c r="L4" s="1499"/>
      <c r="M4" s="1499"/>
      <c r="N4" s="1041"/>
      <c r="O4" s="1041"/>
      <c r="P4" s="1041"/>
      <c r="Q4" s="1041"/>
      <c r="R4" s="1499"/>
      <c r="S4" s="1041"/>
      <c r="T4" s="1041"/>
      <c r="U4" s="450"/>
      <c r="V4" s="1041"/>
      <c r="W4" s="1041"/>
      <c r="X4" s="1041"/>
      <c r="Y4" s="1041"/>
      <c r="Z4" s="1041"/>
    </row>
    <row r="6" spans="1:31" ht="22.5" customHeight="1">
      <c r="E6" s="16069" t="s">
        <v>754</v>
      </c>
      <c r="F6" s="16069"/>
      <c r="G6" s="16069"/>
      <c r="H6" s="16069"/>
      <c r="I6" s="16069"/>
      <c r="J6" s="462"/>
    </row>
    <row r="7" spans="1:31" ht="24" customHeight="1">
      <c r="E7" s="16056" t="str">
        <f>IF(org=0,"Не определено",org)</f>
        <v>АО "Мурманэнергосбыт"</v>
      </c>
      <c r="F7" s="16056"/>
      <c r="G7" s="16056"/>
      <c r="H7" s="16056"/>
      <c r="I7" s="16056"/>
    </row>
    <row r="8" spans="1:31" ht="11.25" customHeight="1">
      <c r="E8" s="1018"/>
      <c r="F8" s="1018"/>
      <c r="G8" s="1018"/>
      <c r="H8" s="1018"/>
      <c r="I8" s="1018"/>
    </row>
    <row r="9" spans="1:31" s="14432" customFormat="1" ht="0.75" customHeight="1">
      <c r="A9" s="1048"/>
      <c r="D9" s="1505"/>
      <c r="H9" s="783"/>
      <c r="I9" s="783" t="s">
        <v>152</v>
      </c>
    </row>
    <row r="10" spans="1:31" ht="11.25" customHeight="1">
      <c r="E10" s="611"/>
      <c r="F10" s="16203" t="s">
        <v>143</v>
      </c>
      <c r="G10" s="16204"/>
      <c r="H10" s="1421" t="str">
        <f>IF(H9="","",INDEX(DIFFERENTIATION_UNMERGE_VD,MATCH(H9,DIFFERENTIATION_ID_DIFF,0)))</f>
        <v/>
      </c>
      <c r="I10" s="1421">
        <f>IF(I9="","",INDEX(DIFFERENTIATION_UNMERGE_VD,MATCH(I9,DIFFERENTIATION_ID_DIFF,0)))</f>
        <v>0</v>
      </c>
      <c r="J10" s="15992"/>
    </row>
    <row r="11" spans="1:31" ht="11.25" customHeight="1">
      <c r="E11" s="611"/>
      <c r="F11" s="16203" t="s">
        <v>702</v>
      </c>
      <c r="G11" s="16204"/>
      <c r="H11" s="1421" t="str">
        <f>IF(H9="","",INDEX(DIFFERENTIATION_UNMERGE_AREA,MATCH(H9,DIFFERENTIATION_ID_DIFF,0)))</f>
        <v/>
      </c>
      <c r="I11" s="1421" t="str">
        <f>IF(I9="","",INDEX(DIFFERENTIATION_UNMERGE_AREA,MATCH(I9,DIFFERENTIATION_ID_DIFF,0)))</f>
        <v/>
      </c>
      <c r="J11" s="15992"/>
    </row>
    <row r="12" spans="1:31" ht="11.25" hidden="1" customHeight="1">
      <c r="E12" s="1525"/>
      <c r="F12" s="16219" t="s">
        <v>703</v>
      </c>
      <c r="G12" s="16220"/>
      <c r="H12" s="1526" t="str">
        <f>IF(H9="","",INDEX(DIFFERENTIATION_UNMERGE_SYSTEM,MATCH(H9,DIFFERENTIATION_ID_DIFF,0)))</f>
        <v/>
      </c>
      <c r="I12" s="1526" t="str">
        <f>IF(I9="","",INDEX(DIFFERENTIATION_UNMERGE_SYSTEM,MATCH(I9,DIFFERENTIATION_ID_DIFF,0)))</f>
        <v>без дифференциации</v>
      </c>
      <c r="J12" s="15992"/>
    </row>
    <row r="13" spans="1:31" ht="11.25" customHeight="1">
      <c r="E13" s="16205" t="s">
        <v>437</v>
      </c>
      <c r="F13" s="16206"/>
      <c r="G13" s="16206"/>
      <c r="H13" s="1420"/>
      <c r="I13" s="1420"/>
      <c r="J13" s="15992"/>
    </row>
    <row r="14" spans="1:31" ht="22.5" customHeight="1">
      <c r="E14" s="1502" t="s">
        <v>87</v>
      </c>
      <c r="F14" s="1497" t="s">
        <v>439</v>
      </c>
      <c r="G14" s="1497" t="s">
        <v>704</v>
      </c>
      <c r="H14" s="1497" t="s">
        <v>440</v>
      </c>
      <c r="I14" s="1497" t="s">
        <v>440</v>
      </c>
      <c r="J14" s="15992"/>
    </row>
    <row r="15" spans="1:31" ht="18.75" customHeight="1">
      <c r="D15" s="1501"/>
      <c r="E15" s="1493" t="s">
        <v>147</v>
      </c>
      <c r="F15" s="607" t="s">
        <v>755</v>
      </c>
      <c r="G15" s="1509" t="s">
        <v>690</v>
      </c>
      <c r="H15" s="463"/>
      <c r="I15" s="463"/>
      <c r="J15" s="206" t="s">
        <v>756</v>
      </c>
      <c r="K15" s="449" t="s">
        <v>757</v>
      </c>
    </row>
    <row r="16" spans="1:31" ht="33.75" customHeight="1">
      <c r="D16" s="1501"/>
      <c r="E16" s="1493" t="s">
        <v>102</v>
      </c>
      <c r="F16" s="607" t="s">
        <v>758</v>
      </c>
      <c r="G16" s="1509" t="s">
        <v>690</v>
      </c>
      <c r="H16" s="464">
        <f>SUM(H17,H20:H32)</f>
        <v>0</v>
      </c>
      <c r="I16" s="464">
        <f>SUM(I17,I20:I32)</f>
        <v>0</v>
      </c>
      <c r="J16" s="206" t="s">
        <v>759</v>
      </c>
      <c r="K16" s="449" t="s">
        <v>757</v>
      </c>
    </row>
    <row r="17" spans="1:31" ht="18.75" customHeight="1">
      <c r="D17" s="1501"/>
      <c r="E17" s="1527" t="s">
        <v>760</v>
      </c>
      <c r="F17" s="844" t="s">
        <v>761</v>
      </c>
      <c r="G17" s="1506" t="s">
        <v>690</v>
      </c>
      <c r="H17" s="463"/>
      <c r="I17" s="463"/>
      <c r="J17" s="206" t="s">
        <v>762</v>
      </c>
      <c r="K17" s="449"/>
    </row>
    <row r="18" spans="1:31" ht="22.5" customHeight="1">
      <c r="D18" s="1501"/>
      <c r="E18" s="1527" t="s">
        <v>763</v>
      </c>
      <c r="F18" s="1513" t="s">
        <v>764</v>
      </c>
      <c r="G18" s="1506" t="s">
        <v>690</v>
      </c>
      <c r="H18" s="463"/>
      <c r="I18" s="463"/>
      <c r="J18" s="206" t="s">
        <v>765</v>
      </c>
      <c r="K18" s="449"/>
    </row>
    <row r="19" spans="1:31" ht="33.75" customHeight="1">
      <c r="D19" s="1501"/>
      <c r="E19" s="1527" t="s">
        <v>766</v>
      </c>
      <c r="F19" s="1513" t="s">
        <v>767</v>
      </c>
      <c r="G19" s="1506" t="s">
        <v>690</v>
      </c>
      <c r="H19" s="463"/>
      <c r="I19" s="463"/>
      <c r="J19" s="206"/>
      <c r="K19" s="449"/>
    </row>
    <row r="20" spans="1:31" ht="18.75" customHeight="1">
      <c r="D20" s="1501"/>
      <c r="E20" s="1527" t="s">
        <v>444</v>
      </c>
      <c r="F20" s="844" t="s">
        <v>768</v>
      </c>
      <c r="G20" s="1506" t="s">
        <v>690</v>
      </c>
      <c r="H20" s="463"/>
      <c r="I20" s="463"/>
      <c r="J20" s="206" t="s">
        <v>769</v>
      </c>
      <c r="K20" s="449"/>
    </row>
    <row r="21" spans="1:31" ht="18.75" customHeight="1">
      <c r="D21" s="1501"/>
      <c r="E21" s="1527" t="s">
        <v>770</v>
      </c>
      <c r="F21" s="1513" t="s">
        <v>771</v>
      </c>
      <c r="G21" s="1506" t="s">
        <v>690</v>
      </c>
      <c r="H21" s="463"/>
      <c r="I21" s="463"/>
      <c r="J21" s="206"/>
      <c r="K21" s="449"/>
    </row>
    <row r="22" spans="1:31" ht="18.75" customHeight="1">
      <c r="D22" s="1501"/>
      <c r="E22" s="1527" t="s">
        <v>772</v>
      </c>
      <c r="F22" s="1513" t="s">
        <v>773</v>
      </c>
      <c r="G22" s="1506" t="s">
        <v>690</v>
      </c>
      <c r="H22" s="463"/>
      <c r="I22" s="463"/>
      <c r="J22" s="206"/>
      <c r="K22" s="449"/>
    </row>
    <row r="23" spans="1:31" ht="22.5" customHeight="1">
      <c r="D23" s="1501"/>
      <c r="E23" s="1527" t="s">
        <v>447</v>
      </c>
      <c r="F23" s="844" t="s">
        <v>774</v>
      </c>
      <c r="G23" s="1506" t="s">
        <v>690</v>
      </c>
      <c r="H23" s="463"/>
      <c r="I23" s="463"/>
      <c r="J23" s="206" t="s">
        <v>775</v>
      </c>
      <c r="K23" s="449"/>
    </row>
    <row r="24" spans="1:31" ht="18.75" customHeight="1">
      <c r="D24" s="1501"/>
      <c r="E24" s="1527" t="s">
        <v>776</v>
      </c>
      <c r="F24" s="1513" t="s">
        <v>777</v>
      </c>
      <c r="G24" s="1506" t="s">
        <v>690</v>
      </c>
      <c r="H24" s="463"/>
      <c r="I24" s="463"/>
      <c r="J24" s="206"/>
      <c r="K24" s="449"/>
    </row>
    <row r="25" spans="1:31" ht="33.75" customHeight="1">
      <c r="D25" s="1501"/>
      <c r="E25" s="1527" t="s">
        <v>778</v>
      </c>
      <c r="F25" s="1513" t="s">
        <v>779</v>
      </c>
      <c r="G25" s="1506" t="s">
        <v>690</v>
      </c>
      <c r="H25" s="463"/>
      <c r="I25" s="463"/>
      <c r="J25" s="206"/>
      <c r="K25" s="449"/>
    </row>
    <row r="26" spans="1:31" ht="22.5" customHeight="1">
      <c r="D26" s="1501"/>
      <c r="E26" s="1527" t="s">
        <v>780</v>
      </c>
      <c r="F26" s="844" t="s">
        <v>781</v>
      </c>
      <c r="G26" s="1506" t="s">
        <v>690</v>
      </c>
      <c r="H26" s="463"/>
      <c r="I26" s="463"/>
      <c r="J26" s="206" t="s">
        <v>782</v>
      </c>
      <c r="K26" s="449"/>
    </row>
    <row r="27" spans="1:31" ht="18.75" customHeight="1">
      <c r="D27" s="1501"/>
      <c r="E27" s="1538" t="s">
        <v>783</v>
      </c>
      <c r="F27" s="1513" t="s">
        <v>784</v>
      </c>
      <c r="G27" s="1517" t="s">
        <v>690</v>
      </c>
      <c r="H27" s="1539"/>
      <c r="I27" s="1539"/>
      <c r="J27" s="206"/>
      <c r="K27" s="449"/>
    </row>
    <row r="28" spans="1:31" ht="18.75" customHeight="1">
      <c r="D28" s="1501"/>
      <c r="E28" s="1538" t="s">
        <v>785</v>
      </c>
      <c r="F28" s="1513" t="s">
        <v>786</v>
      </c>
      <c r="G28" s="1517" t="s">
        <v>690</v>
      </c>
      <c r="H28" s="1539"/>
      <c r="I28" s="1539"/>
      <c r="J28" s="206"/>
      <c r="K28" s="449"/>
    </row>
    <row r="29" spans="1:31" ht="18.75" customHeight="1">
      <c r="D29" s="1501"/>
      <c r="E29" s="1538" t="s">
        <v>787</v>
      </c>
      <c r="F29" s="844" t="s">
        <v>788</v>
      </c>
      <c r="G29" s="1517" t="s">
        <v>690</v>
      </c>
      <c r="H29" s="1539"/>
      <c r="I29" s="1539"/>
      <c r="J29" s="206"/>
      <c r="K29" s="449"/>
    </row>
    <row r="30" spans="1:31" ht="18.75" customHeight="1">
      <c r="D30" s="1501"/>
      <c r="E30" s="1538" t="s">
        <v>789</v>
      </c>
      <c r="F30" s="844" t="s">
        <v>790</v>
      </c>
      <c r="G30" s="1517" t="s">
        <v>690</v>
      </c>
      <c r="H30" s="1539"/>
      <c r="I30" s="1539"/>
      <c r="J30" s="206"/>
      <c r="K30" s="449"/>
    </row>
    <row r="31" spans="1:31" ht="18.75" customHeight="1">
      <c r="D31" s="1501"/>
      <c r="E31" s="1538" t="s">
        <v>791</v>
      </c>
      <c r="F31" s="844" t="s">
        <v>792</v>
      </c>
      <c r="G31" s="1517" t="s">
        <v>690</v>
      </c>
      <c r="H31" s="1539"/>
      <c r="I31" s="1539"/>
      <c r="J31" s="206"/>
      <c r="K31" s="449"/>
    </row>
    <row r="32" spans="1:31" s="14419" customFormat="1" ht="22.5" customHeight="1">
      <c r="A32" s="876"/>
      <c r="C32" s="1499"/>
      <c r="D32" s="1501"/>
      <c r="E32" s="1538" t="s">
        <v>793</v>
      </c>
      <c r="F32" s="844" t="s">
        <v>794</v>
      </c>
      <c r="G32" s="1507" t="s">
        <v>690</v>
      </c>
      <c r="H32" s="485">
        <f>SUM(H33:H34)</f>
        <v>0</v>
      </c>
      <c r="I32" s="485">
        <f>SUM(I33:I34)</f>
        <v>0</v>
      </c>
      <c r="J32" s="206" t="s">
        <v>795</v>
      </c>
      <c r="K32" s="449"/>
      <c r="L32" s="1499"/>
      <c r="M32" s="1499"/>
      <c r="R32" s="1499"/>
      <c r="U32" s="450"/>
      <c r="AA32" s="1495"/>
      <c r="AB32" s="1495"/>
      <c r="AC32" s="1495"/>
      <c r="AD32" s="1495"/>
      <c r="AE32" s="1495"/>
    </row>
    <row r="33" spans="1:31" s="14432" customFormat="1" ht="0.75" customHeight="1">
      <c r="A33" s="1048"/>
      <c r="D33" s="454"/>
      <c r="E33" s="700" t="str">
        <f>E32&amp;".0"</f>
        <v>2.8.0</v>
      </c>
      <c r="F33" s="880"/>
      <c r="G33" s="457"/>
      <c r="H33" s="881"/>
      <c r="I33" s="881"/>
      <c r="J33" s="882"/>
    </row>
    <row r="34" spans="1:31" s="14419" customFormat="1" ht="18.75" customHeight="1">
      <c r="A34" s="876"/>
      <c r="C34" s="1499"/>
      <c r="D34" s="1496"/>
      <c r="E34" s="476"/>
      <c r="F34" s="1529" t="s">
        <v>715</v>
      </c>
      <c r="G34" s="478"/>
      <c r="H34" s="479"/>
      <c r="I34" s="479"/>
      <c r="J34" s="218" t="s">
        <v>796</v>
      </c>
      <c r="K34" s="449"/>
      <c r="L34" s="1499"/>
      <c r="M34" s="1499"/>
      <c r="R34" s="1499"/>
      <c r="U34" s="450"/>
      <c r="AA34" s="1495"/>
      <c r="AB34" s="1495"/>
      <c r="AC34" s="1495"/>
      <c r="AD34" s="1495"/>
      <c r="AE34" s="1495"/>
    </row>
    <row r="35" spans="1:31" ht="56.25" customHeight="1">
      <c r="D35" s="1501"/>
      <c r="E35" s="1538" t="s">
        <v>797</v>
      </c>
      <c r="F35" s="844" t="s">
        <v>798</v>
      </c>
      <c r="G35" s="1517" t="s">
        <v>690</v>
      </c>
      <c r="H35" s="1539"/>
      <c r="I35" s="1539"/>
      <c r="J35" s="206" t="s">
        <v>799</v>
      </c>
      <c r="K35" s="449"/>
    </row>
    <row r="36" spans="1:31" s="14419" customFormat="1" ht="22.5" customHeight="1">
      <c r="A36" s="878" t="s">
        <v>716</v>
      </c>
      <c r="C36" s="1499"/>
      <c r="D36" s="1501"/>
      <c r="E36" s="1527" t="s">
        <v>89</v>
      </c>
      <c r="F36" s="607" t="s">
        <v>800</v>
      </c>
      <c r="G36" s="1506" t="s">
        <v>690</v>
      </c>
      <c r="H36" s="463"/>
      <c r="I36" s="463"/>
      <c r="J36" s="206" t="s">
        <v>801</v>
      </c>
      <c r="K36" s="449"/>
      <c r="L36" s="1499"/>
      <c r="M36" s="1499"/>
      <c r="R36" s="1499"/>
      <c r="U36" s="450"/>
      <c r="AA36" s="1495"/>
      <c r="AB36" s="1495"/>
      <c r="AC36" s="1495"/>
      <c r="AD36" s="1495"/>
      <c r="AE36" s="1495"/>
    </row>
    <row r="37" spans="1:31" s="14419" customFormat="1" ht="22.5" customHeight="1">
      <c r="A37" s="878"/>
      <c r="C37" s="1499"/>
      <c r="D37" s="1501"/>
      <c r="E37" s="1527" t="s">
        <v>461</v>
      </c>
      <c r="F37" s="844" t="s">
        <v>802</v>
      </c>
      <c r="G37" s="1517"/>
      <c r="H37" s="463"/>
      <c r="I37" s="463"/>
      <c r="J37" s="206"/>
      <c r="K37" s="449"/>
      <c r="L37" s="1499"/>
      <c r="M37" s="1499"/>
      <c r="R37" s="1499"/>
      <c r="U37" s="450"/>
      <c r="AA37" s="1495"/>
      <c r="AB37" s="1495"/>
      <c r="AC37" s="1495"/>
      <c r="AD37" s="1495"/>
      <c r="AE37" s="1495"/>
    </row>
    <row r="38" spans="1:31" s="14419" customFormat="1" ht="18.75" customHeight="1">
      <c r="A38" s="876"/>
      <c r="C38" s="1499"/>
      <c r="D38" s="481"/>
      <c r="E38" s="1527" t="s">
        <v>90</v>
      </c>
      <c r="F38" s="607" t="s">
        <v>803</v>
      </c>
      <c r="G38" s="1506" t="s">
        <v>690</v>
      </c>
      <c r="H38" s="463"/>
      <c r="I38" s="463"/>
      <c r="J38" s="206" t="s">
        <v>804</v>
      </c>
      <c r="K38" s="449"/>
      <c r="L38" s="1499"/>
      <c r="M38" s="1499"/>
      <c r="R38" s="1499"/>
      <c r="U38" s="450"/>
      <c r="AA38" s="1495"/>
      <c r="AB38" s="1495"/>
      <c r="AC38" s="1495"/>
      <c r="AD38" s="1495"/>
      <c r="AE38" s="1495"/>
    </row>
    <row r="39" spans="1:31" s="14419" customFormat="1" ht="22.5" customHeight="1">
      <c r="A39" s="876"/>
      <c r="C39" s="1499"/>
      <c r="D39" s="481"/>
      <c r="E39" s="1527" t="s">
        <v>805</v>
      </c>
      <c r="F39" s="844" t="s">
        <v>806</v>
      </c>
      <c r="G39" s="1517" t="s">
        <v>690</v>
      </c>
      <c r="H39" s="463"/>
      <c r="I39" s="463"/>
      <c r="J39" s="206" t="s">
        <v>807</v>
      </c>
      <c r="K39" s="449"/>
      <c r="L39" s="1499"/>
      <c r="M39" s="1499"/>
      <c r="R39" s="1499"/>
      <c r="U39" s="450"/>
      <c r="AA39" s="1495"/>
      <c r="AB39" s="1495"/>
      <c r="AC39" s="1495"/>
      <c r="AD39" s="1495"/>
      <c r="AE39" s="1495"/>
    </row>
    <row r="40" spans="1:31" s="14419" customFormat="1" ht="22.5" customHeight="1">
      <c r="A40" s="876"/>
      <c r="C40" s="1499"/>
      <c r="D40" s="1501"/>
      <c r="E40" s="1527" t="s">
        <v>808</v>
      </c>
      <c r="F40" s="1513" t="s">
        <v>809</v>
      </c>
      <c r="G40" s="1506" t="s">
        <v>690</v>
      </c>
      <c r="H40" s="463"/>
      <c r="I40" s="463"/>
      <c r="J40" s="206" t="s">
        <v>810</v>
      </c>
      <c r="K40" s="449"/>
      <c r="L40" s="1499"/>
      <c r="M40" s="1499"/>
      <c r="R40" s="1499"/>
      <c r="U40" s="450"/>
      <c r="AA40" s="1495"/>
      <c r="AB40" s="1495"/>
      <c r="AC40" s="1495"/>
      <c r="AD40" s="1495"/>
      <c r="AE40" s="1495"/>
    </row>
    <row r="41" spans="1:31" s="14419" customFormat="1" ht="22.5" customHeight="1">
      <c r="A41" s="876"/>
      <c r="C41" s="1499"/>
      <c r="D41" s="1501"/>
      <c r="E41" s="1527" t="s">
        <v>811</v>
      </c>
      <c r="F41" s="1513" t="s">
        <v>812</v>
      </c>
      <c r="G41" s="1506" t="s">
        <v>690</v>
      </c>
      <c r="H41" s="463"/>
      <c r="I41" s="463"/>
      <c r="J41" s="206" t="s">
        <v>813</v>
      </c>
      <c r="K41" s="449"/>
      <c r="L41" s="1499"/>
      <c r="M41" s="1499"/>
      <c r="R41" s="1499"/>
      <c r="U41" s="450"/>
      <c r="AA41" s="1495"/>
      <c r="AB41" s="1495"/>
      <c r="AC41" s="1495"/>
      <c r="AD41" s="1495"/>
      <c r="AE41" s="1495"/>
    </row>
    <row r="42" spans="1:31" s="14419" customFormat="1" ht="22.5" customHeight="1">
      <c r="A42" s="876"/>
      <c r="C42" s="1499"/>
      <c r="D42" s="1501"/>
      <c r="E42" s="1527" t="s">
        <v>814</v>
      </c>
      <c r="F42" s="1513" t="s">
        <v>815</v>
      </c>
      <c r="G42" s="1506" t="s">
        <v>690</v>
      </c>
      <c r="H42" s="463"/>
      <c r="I42" s="463"/>
      <c r="J42" s="206" t="s">
        <v>816</v>
      </c>
      <c r="K42" s="449"/>
      <c r="L42" s="1499"/>
      <c r="M42" s="1499"/>
      <c r="R42" s="1499"/>
      <c r="U42" s="450"/>
      <c r="AA42" s="1495"/>
      <c r="AB42" s="1495"/>
      <c r="AC42" s="1495"/>
      <c r="AD42" s="1495"/>
      <c r="AE42" s="1495"/>
    </row>
    <row r="43" spans="1:31" s="14419" customFormat="1" ht="33.75" customHeight="1">
      <c r="A43" s="876"/>
      <c r="C43" s="1499" t="s">
        <v>726</v>
      </c>
      <c r="D43" s="1501"/>
      <c r="E43" s="1527" t="s">
        <v>117</v>
      </c>
      <c r="F43" s="607" t="s">
        <v>817</v>
      </c>
      <c r="G43" s="1509" t="s">
        <v>818</v>
      </c>
      <c r="H43" s="316"/>
      <c r="I43" s="316"/>
      <c r="J43" s="206" t="s">
        <v>819</v>
      </c>
      <c r="K43" s="449"/>
      <c r="L43" s="1499"/>
      <c r="M43" s="1499"/>
      <c r="R43" s="1499"/>
      <c r="U43" s="450"/>
      <c r="AA43" s="1495"/>
      <c r="AB43" s="1495"/>
      <c r="AC43" s="1495"/>
      <c r="AD43" s="1495"/>
      <c r="AE43" s="1495"/>
    </row>
    <row r="44" spans="1:31" s="14419" customFormat="1" ht="22.5" customHeight="1">
      <c r="A44" s="876"/>
      <c r="C44" s="1499"/>
      <c r="D44" s="1501"/>
      <c r="E44" s="1527" t="s">
        <v>91</v>
      </c>
      <c r="F44" s="607" t="s">
        <v>820</v>
      </c>
      <c r="G44" s="1506" t="s">
        <v>821</v>
      </c>
      <c r="H44" s="451"/>
      <c r="I44" s="451"/>
      <c r="J44" s="206" t="s">
        <v>822</v>
      </c>
      <c r="K44" s="449"/>
      <c r="L44" s="1499"/>
      <c r="M44" s="1499"/>
      <c r="R44" s="1499"/>
      <c r="U44" s="450"/>
      <c r="AA44" s="1495"/>
      <c r="AB44" s="1495"/>
      <c r="AC44" s="1495"/>
      <c r="AD44" s="1495"/>
      <c r="AE44" s="1495"/>
    </row>
    <row r="45" spans="1:31" s="14419" customFormat="1" ht="22.5" customHeight="1">
      <c r="A45" s="876"/>
      <c r="C45" s="1499"/>
      <c r="D45" s="1501"/>
      <c r="E45" s="1527" t="s">
        <v>92</v>
      </c>
      <c r="F45" s="607" t="s">
        <v>823</v>
      </c>
      <c r="G45" s="1517" t="s">
        <v>824</v>
      </c>
      <c r="H45" s="451"/>
      <c r="I45" s="451"/>
      <c r="J45" s="206" t="s">
        <v>825</v>
      </c>
      <c r="K45" s="449"/>
      <c r="L45" s="1499"/>
      <c r="M45" s="1499"/>
      <c r="R45" s="1499"/>
      <c r="U45" s="450"/>
      <c r="AA45" s="1495"/>
      <c r="AB45" s="1495"/>
      <c r="AC45" s="1495"/>
      <c r="AD45" s="1495"/>
      <c r="AE45" s="1495"/>
    </row>
    <row r="46" spans="1:31" s="14419" customFormat="1" ht="18.75" customHeight="1">
      <c r="A46" s="876"/>
      <c r="C46" s="1499"/>
      <c r="D46" s="1501"/>
      <c r="E46" s="1527" t="s">
        <v>132</v>
      </c>
      <c r="F46" s="607" t="s">
        <v>826</v>
      </c>
      <c r="G46" s="1506" t="s">
        <v>728</v>
      </c>
      <c r="H46" s="483"/>
      <c r="I46" s="483"/>
      <c r="J46" s="206"/>
      <c r="K46" s="449"/>
      <c r="L46" s="1499"/>
      <c r="M46" s="1499"/>
      <c r="R46" s="1499"/>
      <c r="U46" s="450"/>
      <c r="AA46" s="1495"/>
      <c r="AB46" s="1495"/>
      <c r="AC46" s="1495"/>
      <c r="AD46" s="1495"/>
      <c r="AE46" s="1495"/>
    </row>
    <row r="47" spans="1:31" ht="11.25" customHeight="1">
      <c r="D47" s="1501"/>
    </row>
    <row r="48" spans="1:31" ht="26.25" customHeight="1">
      <c r="D48" s="1501"/>
      <c r="E48" s="1135"/>
      <c r="F48" s="16144"/>
      <c r="G48" s="16144"/>
      <c r="H48" s="16144"/>
      <c r="I48" s="16144"/>
      <c r="J48" s="16144"/>
    </row>
    <row r="49" spans="1:31" s="14431" customFormat="1" ht="37.5" customHeight="1">
      <c r="A49" s="876"/>
      <c r="B49" s="1499"/>
      <c r="C49" s="1499"/>
      <c r="D49" s="267"/>
      <c r="F49" s="16144"/>
      <c r="G49" s="16144"/>
      <c r="H49" s="16144"/>
      <c r="I49" s="16144"/>
      <c r="J49" s="16144"/>
      <c r="K49" s="1041"/>
      <c r="L49" s="1499"/>
      <c r="M49" s="1499"/>
      <c r="N49" s="1041"/>
      <c r="O49" s="1041"/>
      <c r="P49" s="1041"/>
      <c r="Q49" s="1041"/>
      <c r="R49" s="1499"/>
      <c r="S49" s="1041"/>
      <c r="T49" s="1041"/>
      <c r="U49" s="450"/>
      <c r="V49" s="1041"/>
      <c r="W49" s="1041"/>
      <c r="X49" s="1041"/>
      <c r="Y49" s="1041"/>
      <c r="Z49" s="1041"/>
      <c r="AA49" s="1495"/>
      <c r="AB49" s="472"/>
      <c r="AC49" s="472"/>
      <c r="AD49" s="472"/>
      <c r="AE49" s="472"/>
    </row>
    <row r="50" spans="1:31" s="14431" customFormat="1" ht="11.25" customHeight="1">
      <c r="A50" s="876"/>
      <c r="B50" s="1499"/>
      <c r="C50" s="1499"/>
      <c r="D50" s="267"/>
      <c r="K50" s="1041"/>
      <c r="L50" s="1499"/>
      <c r="M50" s="1499"/>
      <c r="N50" s="1041"/>
      <c r="O50" s="1041"/>
      <c r="P50" s="1041"/>
      <c r="Q50" s="1041"/>
      <c r="R50" s="1499"/>
      <c r="S50" s="1041"/>
      <c r="T50" s="1041"/>
      <c r="U50" s="450"/>
      <c r="V50" s="1041"/>
      <c r="W50" s="1041"/>
      <c r="X50" s="1041"/>
      <c r="Y50" s="1041"/>
      <c r="Z50" s="1041"/>
      <c r="AA50" s="1495"/>
      <c r="AB50" s="472"/>
      <c r="AC50" s="472"/>
      <c r="AD50" s="472"/>
      <c r="AE50" s="472"/>
    </row>
    <row r="51" spans="1:31" s="14431" customFormat="1" ht="11.25" customHeight="1">
      <c r="A51" s="876"/>
      <c r="B51" s="1499"/>
      <c r="C51" s="1499"/>
      <c r="D51" s="267"/>
      <c r="K51" s="1041"/>
      <c r="L51" s="1499"/>
      <c r="M51" s="1499"/>
      <c r="N51" s="1041"/>
      <c r="O51" s="1041"/>
      <c r="P51" s="1041"/>
      <c r="Q51" s="1041"/>
      <c r="R51" s="1499"/>
      <c r="S51" s="1041"/>
      <c r="T51" s="1041"/>
      <c r="U51" s="450"/>
      <c r="V51" s="1041"/>
      <c r="W51" s="1041"/>
      <c r="X51" s="1041"/>
      <c r="Y51" s="1041"/>
      <c r="Z51" s="1041"/>
      <c r="AA51" s="1495"/>
      <c r="AB51" s="472"/>
      <c r="AC51" s="472"/>
      <c r="AD51" s="472"/>
      <c r="AE51" s="472"/>
    </row>
    <row r="52" spans="1:31" s="14431" customFormat="1" ht="11.25" customHeight="1">
      <c r="A52" s="876"/>
      <c r="B52" s="1499"/>
      <c r="C52" s="1499"/>
      <c r="D52" s="267"/>
      <c r="H52" s="472"/>
      <c r="I52" s="472"/>
      <c r="K52" s="1041"/>
      <c r="L52" s="1499"/>
      <c r="M52" s="1499"/>
      <c r="N52" s="1041"/>
      <c r="O52" s="1041"/>
      <c r="P52" s="1041"/>
      <c r="Q52" s="1041"/>
      <c r="R52" s="1499"/>
      <c r="S52" s="1041"/>
      <c r="T52" s="1041"/>
      <c r="U52" s="450"/>
      <c r="V52" s="1041"/>
      <c r="W52" s="1041"/>
      <c r="X52" s="1041"/>
      <c r="Y52" s="1041"/>
      <c r="Z52" s="1041"/>
      <c r="AA52" s="1495"/>
      <c r="AB52" s="472"/>
      <c r="AC52" s="472"/>
      <c r="AD52" s="472"/>
      <c r="AE52" s="472"/>
    </row>
    <row r="53" spans="1:31" s="14431" customFormat="1" ht="11.25" customHeight="1">
      <c r="A53" s="876"/>
      <c r="B53" s="1499"/>
      <c r="C53" s="1499"/>
      <c r="D53" s="267"/>
      <c r="K53" s="1041"/>
      <c r="L53" s="1499"/>
      <c r="M53" s="1499"/>
      <c r="N53" s="1041"/>
      <c r="O53" s="1041"/>
      <c r="P53" s="1041"/>
      <c r="Q53" s="1041"/>
      <c r="R53" s="1499"/>
      <c r="S53" s="1041"/>
      <c r="T53" s="1041"/>
      <c r="U53" s="450"/>
      <c r="V53" s="1041"/>
      <c r="W53" s="1041"/>
      <c r="X53" s="1041"/>
      <c r="Y53" s="1041"/>
      <c r="Z53" s="1041"/>
      <c r="AA53" s="1495"/>
      <c r="AB53" s="472"/>
      <c r="AC53" s="472"/>
      <c r="AD53" s="472"/>
      <c r="AE53" s="472"/>
    </row>
    <row r="54" spans="1:31" s="14431" customFormat="1" ht="11.25" customHeight="1">
      <c r="A54" s="876"/>
      <c r="B54" s="1499"/>
      <c r="C54" s="1499"/>
      <c r="D54" s="267"/>
      <c r="K54" s="1041"/>
      <c r="L54" s="1499"/>
      <c r="M54" s="1499"/>
      <c r="N54" s="1041"/>
      <c r="O54" s="1041"/>
      <c r="P54" s="1041"/>
      <c r="Q54" s="1041"/>
      <c r="R54" s="1499"/>
      <c r="S54" s="1041"/>
      <c r="T54" s="1041"/>
      <c r="U54" s="450"/>
      <c r="V54" s="1041"/>
      <c r="W54" s="1041"/>
      <c r="X54" s="1041"/>
      <c r="Y54" s="1041"/>
      <c r="Z54" s="1041"/>
      <c r="AA54" s="1495"/>
      <c r="AB54" s="472"/>
      <c r="AC54" s="472"/>
      <c r="AD54" s="472"/>
      <c r="AE54" s="472"/>
    </row>
    <row r="55" spans="1:31" s="14431" customFormat="1" ht="11.25" customHeight="1">
      <c r="A55" s="876"/>
      <c r="B55" s="1499"/>
      <c r="C55" s="1499"/>
      <c r="D55" s="267"/>
      <c r="K55" s="1041"/>
      <c r="L55" s="1499"/>
      <c r="M55" s="1499"/>
      <c r="N55" s="1041"/>
      <c r="O55" s="1041"/>
      <c r="P55" s="1041"/>
      <c r="Q55" s="1041"/>
      <c r="R55" s="1499"/>
      <c r="S55" s="1041"/>
      <c r="T55" s="1041"/>
      <c r="U55" s="450"/>
      <c r="V55" s="1041"/>
      <c r="W55" s="1041"/>
      <c r="X55" s="1041"/>
      <c r="Y55" s="1041"/>
      <c r="Z55" s="1041"/>
      <c r="AA55" s="1495"/>
      <c r="AB55" s="472"/>
      <c r="AC55" s="472"/>
      <c r="AD55" s="472"/>
      <c r="AE55" s="472"/>
    </row>
    <row r="56" spans="1:31" s="14431" customFormat="1" ht="11.25" customHeight="1">
      <c r="A56" s="876"/>
      <c r="B56" s="1499"/>
      <c r="C56" s="1499"/>
      <c r="D56" s="267"/>
      <c r="K56" s="1041"/>
      <c r="L56" s="1499"/>
      <c r="M56" s="1499"/>
      <c r="N56" s="1041"/>
      <c r="O56" s="1041"/>
      <c r="P56" s="1041"/>
      <c r="Q56" s="1041"/>
      <c r="R56" s="1499"/>
      <c r="S56" s="1041"/>
      <c r="T56" s="1041"/>
      <c r="U56" s="450"/>
      <c r="V56" s="1041"/>
      <c r="W56" s="1041"/>
      <c r="X56" s="1041"/>
      <c r="Y56" s="1041"/>
      <c r="Z56" s="1041"/>
      <c r="AA56" s="1495"/>
      <c r="AB56" s="472"/>
      <c r="AC56" s="472"/>
      <c r="AD56" s="472"/>
      <c r="AE56" s="472"/>
    </row>
    <row r="57" spans="1:31" s="14431" customFormat="1" ht="11.25" customHeight="1">
      <c r="A57" s="876"/>
      <c r="B57" s="1499"/>
      <c r="C57" s="1499"/>
      <c r="D57" s="267"/>
      <c r="K57" s="1041"/>
      <c r="L57" s="1499"/>
      <c r="M57" s="1499"/>
      <c r="N57" s="1041"/>
      <c r="O57" s="1041"/>
      <c r="P57" s="1041"/>
      <c r="Q57" s="1041"/>
      <c r="R57" s="1499"/>
      <c r="S57" s="1041"/>
      <c r="T57" s="1041"/>
      <c r="U57" s="450"/>
      <c r="V57" s="1041"/>
      <c r="W57" s="1041"/>
      <c r="X57" s="1041"/>
      <c r="Y57" s="1041"/>
      <c r="Z57" s="1041"/>
      <c r="AA57" s="1495"/>
      <c r="AB57" s="472"/>
      <c r="AC57" s="472"/>
      <c r="AD57" s="472"/>
      <c r="AE57" s="472"/>
    </row>
    <row r="58" spans="1:31" s="14431" customFormat="1" ht="11.25" customHeight="1">
      <c r="A58" s="876"/>
      <c r="B58" s="1499"/>
      <c r="C58" s="1499"/>
      <c r="D58" s="267"/>
      <c r="K58" s="1041"/>
      <c r="L58" s="1499"/>
      <c r="M58" s="1499"/>
      <c r="N58" s="1041"/>
      <c r="O58" s="1041"/>
      <c r="P58" s="1041"/>
      <c r="Q58" s="1041"/>
      <c r="R58" s="1499"/>
      <c r="S58" s="1041"/>
      <c r="T58" s="1041"/>
      <c r="U58" s="450"/>
      <c r="V58" s="1041"/>
      <c r="W58" s="1041"/>
      <c r="X58" s="1041"/>
      <c r="Y58" s="1041"/>
      <c r="Z58" s="1041"/>
      <c r="AA58" s="1495"/>
      <c r="AB58" s="472"/>
      <c r="AC58" s="472"/>
      <c r="AD58" s="472"/>
      <c r="AE58" s="472"/>
    </row>
    <row r="59" spans="1:31" s="14431" customFormat="1" ht="11.25" customHeight="1">
      <c r="A59" s="876"/>
      <c r="B59" s="1499"/>
      <c r="C59" s="1499"/>
      <c r="D59" s="267"/>
      <c r="K59" s="1041"/>
      <c r="L59" s="1499"/>
      <c r="M59" s="1499"/>
      <c r="N59" s="1041"/>
      <c r="O59" s="1041"/>
      <c r="P59" s="1041"/>
      <c r="Q59" s="1041"/>
      <c r="R59" s="1499"/>
      <c r="S59" s="1041"/>
      <c r="T59" s="1041"/>
      <c r="U59" s="450"/>
      <c r="V59" s="1041"/>
      <c r="W59" s="1041"/>
      <c r="X59" s="1041"/>
      <c r="Y59" s="1041"/>
      <c r="Z59" s="1041"/>
      <c r="AA59" s="1495"/>
      <c r="AB59" s="472"/>
      <c r="AC59" s="472"/>
      <c r="AD59" s="472"/>
      <c r="AE59" s="472"/>
    </row>
    <row r="60" spans="1:31" s="14431" customFormat="1" ht="11.25" customHeight="1">
      <c r="A60" s="876"/>
      <c r="B60" s="1499"/>
      <c r="C60" s="1499"/>
      <c r="D60" s="267"/>
      <c r="K60" s="1041"/>
      <c r="L60" s="1499"/>
      <c r="M60" s="1499"/>
      <c r="N60" s="1041"/>
      <c r="O60" s="1041"/>
      <c r="P60" s="1041"/>
      <c r="Q60" s="1041"/>
      <c r="R60" s="1499"/>
      <c r="S60" s="1041"/>
      <c r="T60" s="1041"/>
      <c r="U60" s="450"/>
      <c r="V60" s="1041"/>
      <c r="W60" s="1041"/>
      <c r="X60" s="1041"/>
      <c r="Y60" s="1041"/>
      <c r="Z60" s="1041"/>
      <c r="AA60" s="1495"/>
      <c r="AB60" s="472"/>
      <c r="AC60" s="472"/>
      <c r="AD60" s="472"/>
      <c r="AE60" s="472"/>
    </row>
    <row r="61" spans="1:31" s="14431" customFormat="1" ht="11.25" customHeight="1">
      <c r="A61" s="876"/>
      <c r="B61" s="1499"/>
      <c r="C61" s="1499"/>
      <c r="D61" s="267"/>
      <c r="K61" s="1041"/>
      <c r="L61" s="1499"/>
      <c r="M61" s="1499"/>
      <c r="N61" s="1041"/>
      <c r="O61" s="1041"/>
      <c r="P61" s="1041"/>
      <c r="Q61" s="1041"/>
      <c r="R61" s="1499"/>
      <c r="S61" s="1041"/>
      <c r="T61" s="1041"/>
      <c r="U61" s="450"/>
      <c r="V61" s="1041"/>
      <c r="W61" s="1041"/>
      <c r="X61" s="1041"/>
      <c r="Y61" s="1041"/>
      <c r="Z61" s="1041"/>
      <c r="AA61" s="1495"/>
      <c r="AB61" s="472"/>
      <c r="AC61" s="472"/>
      <c r="AD61" s="472"/>
      <c r="AE61" s="472"/>
    </row>
    <row r="62" spans="1:31" s="14431" customFormat="1" ht="11.25" customHeight="1">
      <c r="A62" s="876"/>
      <c r="B62" s="1499"/>
      <c r="C62" s="1499"/>
      <c r="D62" s="267"/>
      <c r="K62" s="1041"/>
      <c r="L62" s="1499"/>
      <c r="M62" s="1499"/>
      <c r="N62" s="1041"/>
      <c r="O62" s="1041"/>
      <c r="P62" s="1041"/>
      <c r="Q62" s="1041"/>
      <c r="R62" s="1499"/>
      <c r="S62" s="1041"/>
      <c r="T62" s="1041"/>
      <c r="U62" s="450"/>
      <c r="V62" s="1041"/>
      <c r="W62" s="1041"/>
      <c r="X62" s="1041"/>
      <c r="Y62" s="1041"/>
      <c r="Z62" s="1041"/>
      <c r="AA62" s="1495"/>
      <c r="AB62" s="472"/>
      <c r="AC62" s="472"/>
      <c r="AD62" s="472"/>
      <c r="AE62" s="472"/>
    </row>
    <row r="63" spans="1:31" s="14431" customFormat="1" ht="11.25" customHeight="1">
      <c r="A63" s="876"/>
      <c r="B63" s="1499"/>
      <c r="C63" s="1499"/>
      <c r="D63" s="267"/>
      <c r="K63" s="1041"/>
      <c r="L63" s="1499"/>
      <c r="M63" s="1499"/>
      <c r="N63" s="1041"/>
      <c r="O63" s="1041"/>
      <c r="P63" s="1041"/>
      <c r="Q63" s="1041"/>
      <c r="R63" s="1499"/>
      <c r="S63" s="1041"/>
      <c r="T63" s="1041"/>
      <c r="U63" s="450"/>
      <c r="V63" s="1041"/>
      <c r="W63" s="1041"/>
      <c r="X63" s="1041"/>
      <c r="Y63" s="1041"/>
      <c r="Z63" s="1041"/>
      <c r="AA63" s="1495"/>
      <c r="AB63" s="472"/>
      <c r="AC63" s="472"/>
      <c r="AD63" s="472"/>
      <c r="AE63" s="472"/>
    </row>
    <row r="64" spans="1:31" s="14431" customFormat="1" ht="11.25" customHeight="1">
      <c r="A64" s="876"/>
      <c r="B64" s="1499"/>
      <c r="C64" s="1499"/>
      <c r="D64" s="267"/>
      <c r="K64" s="1041"/>
      <c r="L64" s="1499"/>
      <c r="M64" s="1499"/>
      <c r="N64" s="1041"/>
      <c r="O64" s="1041"/>
      <c r="P64" s="1041"/>
      <c r="Q64" s="1041"/>
      <c r="R64" s="1499"/>
      <c r="S64" s="1041"/>
      <c r="T64" s="1041"/>
      <c r="U64" s="450"/>
      <c r="V64" s="1041"/>
      <c r="W64" s="1041"/>
      <c r="X64" s="1041"/>
      <c r="Y64" s="1041"/>
      <c r="Z64" s="1041"/>
      <c r="AA64" s="1495"/>
      <c r="AB64" s="472"/>
      <c r="AC64" s="472"/>
      <c r="AD64" s="472"/>
      <c r="AE64" s="472"/>
    </row>
    <row r="65" spans="1:31" s="14431" customFormat="1" ht="11.25" customHeight="1">
      <c r="A65" s="876"/>
      <c r="B65" s="1499"/>
      <c r="C65" s="1499"/>
      <c r="D65" s="267"/>
      <c r="K65" s="1041"/>
      <c r="L65" s="1499"/>
      <c r="M65" s="1499"/>
      <c r="N65" s="1041"/>
      <c r="O65" s="1041"/>
      <c r="P65" s="1041"/>
      <c r="Q65" s="1041"/>
      <c r="R65" s="1499"/>
      <c r="S65" s="1041"/>
      <c r="T65" s="1041"/>
      <c r="U65" s="450"/>
      <c r="V65" s="1041"/>
      <c r="W65" s="1041"/>
      <c r="X65" s="1041"/>
      <c r="Y65" s="1041"/>
      <c r="Z65" s="1041"/>
      <c r="AA65" s="1495"/>
      <c r="AB65" s="472"/>
      <c r="AC65" s="472"/>
      <c r="AD65" s="472"/>
      <c r="AE65" s="472"/>
    </row>
    <row r="66" spans="1:31" s="14431" customFormat="1" ht="11.25" customHeight="1">
      <c r="A66" s="876"/>
      <c r="B66" s="1499"/>
      <c r="C66" s="1499"/>
      <c r="D66" s="267"/>
      <c r="K66" s="1041"/>
      <c r="L66" s="1499"/>
      <c r="M66" s="1499"/>
      <c r="N66" s="1041"/>
      <c r="O66" s="1041"/>
      <c r="P66" s="1041"/>
      <c r="Q66" s="1041"/>
      <c r="R66" s="1499"/>
      <c r="S66" s="1041"/>
      <c r="T66" s="1041"/>
      <c r="U66" s="450"/>
      <c r="V66" s="1041"/>
      <c r="W66" s="1041"/>
      <c r="X66" s="1041"/>
      <c r="Y66" s="1041"/>
      <c r="Z66" s="1041"/>
      <c r="AA66" s="1495"/>
      <c r="AB66" s="472"/>
      <c r="AC66" s="472"/>
      <c r="AD66" s="472"/>
      <c r="AE66" s="472"/>
    </row>
    <row r="67" spans="1:31" s="14431" customFormat="1" ht="11.25" customHeight="1">
      <c r="A67" s="876"/>
      <c r="B67" s="1499"/>
      <c r="C67" s="1499"/>
      <c r="D67" s="267"/>
      <c r="K67" s="1041"/>
      <c r="L67" s="1499"/>
      <c r="M67" s="1499"/>
      <c r="N67" s="1041"/>
      <c r="O67" s="1041"/>
      <c r="P67" s="1041"/>
      <c r="Q67" s="1041"/>
      <c r="R67" s="1499"/>
      <c r="S67" s="1041"/>
      <c r="T67" s="1041"/>
      <c r="U67" s="450"/>
      <c r="V67" s="1041"/>
      <c r="W67" s="1041"/>
      <c r="X67" s="1041"/>
      <c r="Y67" s="1041"/>
      <c r="Z67" s="1041"/>
      <c r="AA67" s="1495"/>
      <c r="AB67" s="472"/>
      <c r="AC67" s="472"/>
      <c r="AD67" s="472"/>
      <c r="AE67" s="472"/>
    </row>
    <row r="68" spans="1:31" s="14431" customFormat="1" ht="11.25" customHeight="1">
      <c r="A68" s="876"/>
      <c r="B68" s="1499"/>
      <c r="C68" s="1499"/>
      <c r="D68" s="267"/>
      <c r="K68" s="1041"/>
      <c r="L68" s="1499"/>
      <c r="M68" s="1499"/>
      <c r="N68" s="1041"/>
      <c r="O68" s="1041"/>
      <c r="P68" s="1041"/>
      <c r="Q68" s="1041"/>
      <c r="R68" s="1499"/>
      <c r="S68" s="1041"/>
      <c r="T68" s="1041"/>
      <c r="U68" s="450"/>
      <c r="V68" s="1041"/>
      <c r="W68" s="1041"/>
      <c r="X68" s="1041"/>
      <c r="Y68" s="1041"/>
      <c r="Z68" s="1041"/>
      <c r="AA68" s="1495"/>
      <c r="AB68" s="472"/>
      <c r="AC68" s="472"/>
      <c r="AD68" s="472"/>
      <c r="AE68" s="472"/>
    </row>
    <row r="69" spans="1:31" s="14431" customFormat="1" ht="11.25" customHeight="1">
      <c r="A69" s="876"/>
      <c r="B69" s="1499"/>
      <c r="C69" s="1499"/>
      <c r="D69" s="267"/>
      <c r="K69" s="1041"/>
      <c r="L69" s="1499"/>
      <c r="M69" s="1499"/>
      <c r="N69" s="1041"/>
      <c r="O69" s="1041"/>
      <c r="P69" s="1041"/>
      <c r="Q69" s="1041"/>
      <c r="R69" s="1499"/>
      <c r="S69" s="1041"/>
      <c r="T69" s="1041"/>
      <c r="U69" s="450"/>
      <c r="V69" s="1041"/>
      <c r="W69" s="1041"/>
      <c r="X69" s="1041"/>
      <c r="Y69" s="1041"/>
      <c r="Z69" s="1041"/>
      <c r="AA69" s="1495"/>
      <c r="AB69" s="472"/>
      <c r="AC69" s="472"/>
      <c r="AD69" s="472"/>
      <c r="AE69" s="472"/>
    </row>
    <row r="70" spans="1:31" s="14431" customFormat="1" ht="11.25" customHeight="1">
      <c r="A70" s="876"/>
      <c r="B70" s="1499"/>
      <c r="C70" s="1499"/>
      <c r="D70" s="267"/>
      <c r="K70" s="1041"/>
      <c r="L70" s="1499"/>
      <c r="M70" s="1499"/>
      <c r="N70" s="1041"/>
      <c r="O70" s="1041"/>
      <c r="P70" s="1041"/>
      <c r="Q70" s="1041"/>
      <c r="R70" s="1499"/>
      <c r="S70" s="1041"/>
      <c r="T70" s="1041"/>
      <c r="U70" s="450"/>
      <c r="V70" s="1041"/>
      <c r="W70" s="1041"/>
      <c r="X70" s="1041"/>
      <c r="Y70" s="1041"/>
      <c r="Z70" s="1041"/>
      <c r="AA70" s="1495"/>
      <c r="AB70" s="472"/>
      <c r="AC70" s="472"/>
      <c r="AD70" s="472"/>
      <c r="AE70" s="472"/>
    </row>
    <row r="71" spans="1:31" s="14431" customFormat="1" ht="11.25" customHeight="1">
      <c r="A71" s="876"/>
      <c r="B71" s="1499"/>
      <c r="C71" s="1499"/>
      <c r="D71" s="267"/>
      <c r="K71" s="1041"/>
      <c r="L71" s="1499"/>
      <c r="M71" s="1499"/>
      <c r="N71" s="1041"/>
      <c r="O71" s="1041"/>
      <c r="P71" s="1041"/>
      <c r="Q71" s="1041"/>
      <c r="R71" s="1499"/>
      <c r="S71" s="1041"/>
      <c r="T71" s="1041"/>
      <c r="U71" s="450"/>
      <c r="V71" s="1041"/>
      <c r="W71" s="1041"/>
      <c r="X71" s="1041"/>
      <c r="Y71" s="1041"/>
      <c r="Z71" s="1041"/>
      <c r="AA71" s="1495"/>
      <c r="AB71" s="472"/>
      <c r="AC71" s="472"/>
      <c r="AD71" s="472"/>
      <c r="AE71" s="472"/>
    </row>
    <row r="72" spans="1:31" s="14431" customFormat="1" ht="11.25" customHeight="1">
      <c r="A72" s="876"/>
      <c r="B72" s="1499"/>
      <c r="C72" s="1499"/>
      <c r="D72" s="267"/>
      <c r="K72" s="1041"/>
      <c r="L72" s="1499"/>
      <c r="M72" s="1499"/>
      <c r="N72" s="1041"/>
      <c r="O72" s="1041"/>
      <c r="P72" s="1041"/>
      <c r="Q72" s="1041"/>
      <c r="R72" s="1499"/>
      <c r="S72" s="1041"/>
      <c r="T72" s="1041"/>
      <c r="U72" s="450"/>
      <c r="V72" s="1041"/>
      <c r="W72" s="1041"/>
      <c r="X72" s="1041"/>
      <c r="Y72" s="1041"/>
      <c r="Z72" s="1041"/>
      <c r="AA72" s="1495"/>
      <c r="AB72" s="472"/>
      <c r="AC72" s="472"/>
      <c r="AD72" s="472"/>
      <c r="AE72" s="472"/>
    </row>
    <row r="73" spans="1:31" s="14431" customFormat="1" ht="11.25" customHeight="1">
      <c r="A73" s="876"/>
      <c r="B73" s="1499"/>
      <c r="C73" s="1499"/>
      <c r="D73" s="267"/>
      <c r="K73" s="1041"/>
      <c r="L73" s="1499"/>
      <c r="M73" s="1499"/>
      <c r="N73" s="1041"/>
      <c r="O73" s="1041"/>
      <c r="P73" s="1041"/>
      <c r="Q73" s="1041"/>
      <c r="R73" s="1499"/>
      <c r="S73" s="1041"/>
      <c r="T73" s="1041"/>
      <c r="U73" s="450"/>
      <c r="V73" s="1041"/>
      <c r="W73" s="1041"/>
      <c r="X73" s="1041"/>
      <c r="Y73" s="1041"/>
      <c r="Z73" s="1041"/>
      <c r="AA73" s="1495"/>
      <c r="AB73" s="472"/>
      <c r="AC73" s="472"/>
      <c r="AD73" s="472"/>
      <c r="AE73" s="472"/>
    </row>
    <row r="74" spans="1:31" s="14431" customFormat="1" ht="11.25" customHeight="1">
      <c r="A74" s="876"/>
      <c r="B74" s="1499"/>
      <c r="C74" s="1499"/>
      <c r="D74" s="267"/>
      <c r="K74" s="1041"/>
      <c r="L74" s="1499"/>
      <c r="M74" s="1499"/>
      <c r="N74" s="1041"/>
      <c r="O74" s="1041"/>
      <c r="P74" s="1041"/>
      <c r="Q74" s="1041"/>
      <c r="R74" s="1499"/>
      <c r="S74" s="1041"/>
      <c r="T74" s="1041"/>
      <c r="U74" s="450"/>
      <c r="V74" s="1041"/>
      <c r="W74" s="1041"/>
      <c r="X74" s="1041"/>
      <c r="Y74" s="1041"/>
      <c r="Z74" s="1041"/>
      <c r="AA74" s="1495"/>
      <c r="AB74" s="472"/>
      <c r="AC74" s="472"/>
      <c r="AD74" s="472"/>
      <c r="AE74" s="472"/>
    </row>
    <row r="75" spans="1:31" s="14431" customFormat="1" ht="11.25" customHeight="1">
      <c r="A75" s="876"/>
      <c r="B75" s="1499"/>
      <c r="C75" s="1499"/>
      <c r="D75" s="267"/>
      <c r="K75" s="1041"/>
      <c r="L75" s="1499"/>
      <c r="M75" s="1499"/>
      <c r="N75" s="1041"/>
      <c r="O75" s="1041"/>
      <c r="P75" s="1041"/>
      <c r="Q75" s="1041"/>
      <c r="R75" s="1499"/>
      <c r="S75" s="1041"/>
      <c r="T75" s="1041"/>
      <c r="U75" s="450"/>
      <c r="V75" s="1041"/>
      <c r="W75" s="1041"/>
      <c r="X75" s="1041"/>
      <c r="Y75" s="1041"/>
      <c r="Z75" s="1041"/>
      <c r="AA75" s="1495"/>
      <c r="AB75" s="472"/>
      <c r="AC75" s="472"/>
      <c r="AD75" s="472"/>
      <c r="AE75" s="472"/>
    </row>
    <row r="76" spans="1:31" s="14431" customFormat="1" ht="11.25" customHeight="1">
      <c r="A76" s="876"/>
      <c r="B76" s="1499"/>
      <c r="C76" s="1499"/>
      <c r="D76" s="267"/>
      <c r="K76" s="1041"/>
      <c r="L76" s="1499"/>
      <c r="M76" s="1499"/>
      <c r="N76" s="1041"/>
      <c r="O76" s="1041"/>
      <c r="P76" s="1041"/>
      <c r="Q76" s="1041"/>
      <c r="R76" s="1499"/>
      <c r="S76" s="1041"/>
      <c r="T76" s="1041"/>
      <c r="U76" s="450"/>
      <c r="V76" s="1041"/>
      <c r="W76" s="1041"/>
      <c r="X76" s="1041"/>
      <c r="Y76" s="1041"/>
      <c r="Z76" s="1041"/>
      <c r="AA76" s="1495"/>
      <c r="AB76" s="472"/>
      <c r="AC76" s="472"/>
      <c r="AD76" s="472"/>
      <c r="AE76" s="472"/>
    </row>
    <row r="77" spans="1:31" s="14431" customFormat="1" ht="11.25" customHeight="1">
      <c r="A77" s="876"/>
      <c r="B77" s="1499"/>
      <c r="C77" s="1499"/>
      <c r="D77" s="267"/>
      <c r="K77" s="1041"/>
      <c r="L77" s="1499"/>
      <c r="M77" s="1499"/>
      <c r="N77" s="1041"/>
      <c r="O77" s="1041"/>
      <c r="P77" s="1041"/>
      <c r="Q77" s="1041"/>
      <c r="R77" s="1499"/>
      <c r="S77" s="1041"/>
      <c r="T77" s="1041"/>
      <c r="U77" s="450"/>
      <c r="V77" s="1041"/>
      <c r="W77" s="1041"/>
      <c r="X77" s="1041"/>
      <c r="Y77" s="1041"/>
      <c r="Z77" s="1041"/>
      <c r="AA77" s="1495"/>
      <c r="AB77" s="472"/>
      <c r="AC77" s="472"/>
      <c r="AD77" s="472"/>
      <c r="AE77" s="472"/>
    </row>
    <row r="78" spans="1:31" s="14431" customFormat="1" ht="11.25" customHeight="1">
      <c r="A78" s="876"/>
      <c r="B78" s="1499"/>
      <c r="C78" s="1499"/>
      <c r="D78" s="267"/>
      <c r="K78" s="1041"/>
      <c r="L78" s="1499"/>
      <c r="M78" s="1499"/>
      <c r="N78" s="1041"/>
      <c r="O78" s="1041"/>
      <c r="P78" s="1041"/>
      <c r="Q78" s="1041"/>
      <c r="R78" s="1499"/>
      <c r="S78" s="1041"/>
      <c r="T78" s="1041"/>
      <c r="U78" s="450"/>
      <c r="V78" s="1041"/>
      <c r="W78" s="1041"/>
      <c r="X78" s="1041"/>
      <c r="Y78" s="1041"/>
      <c r="Z78" s="1041"/>
      <c r="AA78" s="1495"/>
      <c r="AB78" s="472"/>
      <c r="AC78" s="472"/>
      <c r="AD78" s="472"/>
      <c r="AE78" s="472"/>
    </row>
    <row r="79" spans="1:31" s="14431" customFormat="1" ht="11.25" customHeight="1">
      <c r="A79" s="876"/>
      <c r="B79" s="1499"/>
      <c r="C79" s="1499"/>
      <c r="D79" s="267"/>
      <c r="K79" s="1041"/>
      <c r="L79" s="1499"/>
      <c r="M79" s="1499"/>
      <c r="N79" s="1041"/>
      <c r="O79" s="1041"/>
      <c r="P79" s="1041"/>
      <c r="Q79" s="1041"/>
      <c r="R79" s="1499"/>
      <c r="S79" s="1041"/>
      <c r="T79" s="1041"/>
      <c r="U79" s="450"/>
      <c r="V79" s="1041"/>
      <c r="W79" s="1041"/>
      <c r="X79" s="1041"/>
      <c r="Y79" s="1041"/>
      <c r="Z79" s="1041"/>
      <c r="AA79" s="1495"/>
      <c r="AB79" s="472"/>
      <c r="AC79" s="472"/>
      <c r="AD79" s="472"/>
      <c r="AE79" s="472"/>
    </row>
    <row r="80" spans="1:31" s="14431" customFormat="1" ht="11.25" customHeight="1">
      <c r="A80" s="876"/>
      <c r="B80" s="1499"/>
      <c r="C80" s="1499"/>
      <c r="D80" s="267"/>
      <c r="K80" s="1041"/>
      <c r="L80" s="1499"/>
      <c r="M80" s="1499"/>
      <c r="N80" s="1041"/>
      <c r="O80" s="1041"/>
      <c r="P80" s="1041"/>
      <c r="Q80" s="1041"/>
      <c r="R80" s="1499"/>
      <c r="S80" s="1041"/>
      <c r="T80" s="1041"/>
      <c r="U80" s="450"/>
      <c r="V80" s="1041"/>
      <c r="W80" s="1041"/>
      <c r="X80" s="1041"/>
      <c r="Y80" s="1041"/>
      <c r="Z80" s="1041"/>
      <c r="AA80" s="1495"/>
      <c r="AB80" s="472"/>
      <c r="AC80" s="472"/>
      <c r="AD80" s="472"/>
      <c r="AE80" s="472"/>
    </row>
    <row r="81" spans="1:31" s="14431" customFormat="1" ht="11.25" customHeight="1">
      <c r="A81" s="876"/>
      <c r="B81" s="1499"/>
      <c r="C81" s="1499"/>
      <c r="D81" s="267"/>
      <c r="K81" s="1041"/>
      <c r="L81" s="1499"/>
      <c r="M81" s="1499"/>
      <c r="N81" s="1041"/>
      <c r="O81" s="1041"/>
      <c r="P81" s="1041"/>
      <c r="Q81" s="1041"/>
      <c r="R81" s="1499"/>
      <c r="S81" s="1041"/>
      <c r="T81" s="1041"/>
      <c r="U81" s="450"/>
      <c r="V81" s="1041"/>
      <c r="W81" s="1041"/>
      <c r="X81" s="1041"/>
      <c r="Y81" s="1041"/>
      <c r="Z81" s="1041"/>
      <c r="AA81" s="1495"/>
      <c r="AB81" s="472"/>
      <c r="AC81" s="472"/>
      <c r="AD81" s="472"/>
      <c r="AE81" s="472"/>
    </row>
    <row r="82" spans="1:31" s="14431" customFormat="1" ht="11.25" customHeight="1">
      <c r="A82" s="876"/>
      <c r="B82" s="1499"/>
      <c r="C82" s="1499"/>
      <c r="D82" s="267"/>
      <c r="K82" s="1041"/>
      <c r="L82" s="1499"/>
      <c r="M82" s="1499"/>
      <c r="N82" s="1041"/>
      <c r="O82" s="1041"/>
      <c r="P82" s="1041"/>
      <c r="Q82" s="1041"/>
      <c r="R82" s="1499"/>
      <c r="S82" s="1041"/>
      <c r="T82" s="1041"/>
      <c r="U82" s="450"/>
      <c r="V82" s="1041"/>
      <c r="W82" s="1041"/>
      <c r="X82" s="1041"/>
      <c r="Y82" s="1041"/>
      <c r="Z82" s="1041"/>
      <c r="AA82" s="1495"/>
      <c r="AB82" s="472"/>
      <c r="AC82" s="472"/>
      <c r="AD82" s="472"/>
      <c r="AE82" s="472"/>
    </row>
    <row r="83" spans="1:31" s="14431" customFormat="1" ht="11.25" customHeight="1">
      <c r="A83" s="876"/>
      <c r="B83" s="1499"/>
      <c r="C83" s="1499"/>
      <c r="D83" s="267"/>
      <c r="K83" s="1041"/>
      <c r="L83" s="1499"/>
      <c r="M83" s="1499"/>
      <c r="N83" s="1041"/>
      <c r="O83" s="1041"/>
      <c r="P83" s="1041"/>
      <c r="Q83" s="1041"/>
      <c r="R83" s="1499"/>
      <c r="S83" s="1041"/>
      <c r="T83" s="1041"/>
      <c r="U83" s="450"/>
      <c r="V83" s="1041"/>
      <c r="W83" s="1041"/>
      <c r="X83" s="1041"/>
      <c r="Y83" s="1041"/>
      <c r="Z83" s="1041"/>
      <c r="AA83" s="1495"/>
      <c r="AB83" s="472"/>
      <c r="AC83" s="472"/>
      <c r="AD83" s="472"/>
      <c r="AE83" s="472"/>
    </row>
    <row r="84" spans="1:31" s="14431" customFormat="1" ht="11.25" customHeight="1">
      <c r="A84" s="876"/>
      <c r="B84" s="1499"/>
      <c r="C84" s="1499"/>
      <c r="D84" s="267"/>
      <c r="K84" s="1041"/>
      <c r="L84" s="1499"/>
      <c r="M84" s="1499"/>
      <c r="N84" s="1041"/>
      <c r="O84" s="1041"/>
      <c r="P84" s="1041"/>
      <c r="Q84" s="1041"/>
      <c r="R84" s="1499"/>
      <c r="S84" s="1041"/>
      <c r="T84" s="1041"/>
      <c r="U84" s="450"/>
      <c r="V84" s="1041"/>
      <c r="W84" s="1041"/>
      <c r="X84" s="1041"/>
      <c r="Y84" s="1041"/>
      <c r="Z84" s="1041"/>
      <c r="AA84" s="1495"/>
      <c r="AB84" s="472"/>
      <c r="AC84" s="472"/>
      <c r="AD84" s="472"/>
      <c r="AE84" s="472"/>
    </row>
    <row r="85" spans="1:31" s="14431" customFormat="1" ht="11.25" customHeight="1">
      <c r="A85" s="876"/>
      <c r="B85" s="1499"/>
      <c r="C85" s="1499"/>
      <c r="D85" s="267"/>
      <c r="K85" s="1041"/>
      <c r="L85" s="1499"/>
      <c r="M85" s="1499"/>
      <c r="N85" s="1041"/>
      <c r="O85" s="1041"/>
      <c r="P85" s="1041"/>
      <c r="Q85" s="1041"/>
      <c r="R85" s="1499"/>
      <c r="S85" s="1041"/>
      <c r="T85" s="1041"/>
      <c r="U85" s="450"/>
      <c r="V85" s="1041"/>
      <c r="W85" s="1041"/>
      <c r="X85" s="1041"/>
      <c r="Y85" s="1041"/>
      <c r="Z85" s="1041"/>
      <c r="AA85" s="1495"/>
      <c r="AB85" s="472"/>
      <c r="AC85" s="472"/>
      <c r="AD85" s="472"/>
      <c r="AE85" s="472"/>
    </row>
    <row r="86" spans="1:31" s="14431" customFormat="1" ht="11.25" customHeight="1">
      <c r="A86" s="876"/>
      <c r="B86" s="1499"/>
      <c r="C86" s="1499"/>
      <c r="D86" s="267"/>
      <c r="K86" s="1041"/>
      <c r="L86" s="1499"/>
      <c r="M86" s="1499"/>
      <c r="N86" s="1041"/>
      <c r="O86" s="1041"/>
      <c r="P86" s="1041"/>
      <c r="Q86" s="1041"/>
      <c r="R86" s="1499"/>
      <c r="S86" s="1041"/>
      <c r="T86" s="1041"/>
      <c r="U86" s="450"/>
      <c r="V86" s="1041"/>
      <c r="W86" s="1041"/>
      <c r="X86" s="1041"/>
      <c r="Y86" s="1041"/>
      <c r="Z86" s="1041"/>
      <c r="AA86" s="1495"/>
      <c r="AB86" s="472"/>
      <c r="AC86" s="472"/>
      <c r="AD86" s="472"/>
      <c r="AE86" s="472"/>
    </row>
    <row r="87" spans="1:31" s="14431" customFormat="1" ht="11.25" customHeight="1">
      <c r="A87" s="876"/>
      <c r="B87" s="1499"/>
      <c r="C87" s="1499"/>
      <c r="D87" s="267"/>
      <c r="K87" s="1041"/>
      <c r="L87" s="1499"/>
      <c r="M87" s="1499"/>
      <c r="N87" s="1041"/>
      <c r="O87" s="1041"/>
      <c r="P87" s="1041"/>
      <c r="Q87" s="1041"/>
      <c r="R87" s="1499"/>
      <c r="S87" s="1041"/>
      <c r="T87" s="1041"/>
      <c r="U87" s="450"/>
      <c r="V87" s="1041"/>
      <c r="W87" s="1041"/>
      <c r="X87" s="1041"/>
      <c r="Y87" s="1041"/>
      <c r="Z87" s="1041"/>
      <c r="AA87" s="1495"/>
      <c r="AB87" s="472"/>
      <c r="AC87" s="472"/>
      <c r="AD87" s="472"/>
      <c r="AE87" s="472"/>
    </row>
    <row r="88" spans="1:31" s="14431" customFormat="1" ht="11.25" customHeight="1">
      <c r="A88" s="876"/>
      <c r="B88" s="1499"/>
      <c r="C88" s="1499"/>
      <c r="D88" s="267"/>
      <c r="K88" s="1041"/>
      <c r="L88" s="1499"/>
      <c r="M88" s="1499"/>
      <c r="N88" s="1041"/>
      <c r="O88" s="1041"/>
      <c r="P88" s="1041"/>
      <c r="Q88" s="1041"/>
      <c r="R88" s="1499"/>
      <c r="S88" s="1041"/>
      <c r="T88" s="1041"/>
      <c r="U88" s="450"/>
      <c r="V88" s="1041"/>
      <c r="W88" s="1041"/>
      <c r="X88" s="1041"/>
      <c r="Y88" s="1041"/>
      <c r="Z88" s="1041"/>
      <c r="AA88" s="1495"/>
      <c r="AB88" s="472"/>
      <c r="AC88" s="472"/>
      <c r="AD88" s="472"/>
      <c r="AE88" s="472"/>
    </row>
    <row r="89" spans="1:31" s="14431" customFormat="1" ht="11.25" customHeight="1">
      <c r="A89" s="876"/>
      <c r="B89" s="1499"/>
      <c r="C89" s="1499"/>
      <c r="D89" s="267"/>
      <c r="K89" s="1041"/>
      <c r="L89" s="1499"/>
      <c r="M89" s="1499"/>
      <c r="N89" s="1041"/>
      <c r="O89" s="1041"/>
      <c r="P89" s="1041"/>
      <c r="Q89" s="1041"/>
      <c r="R89" s="1499"/>
      <c r="S89" s="1041"/>
      <c r="T89" s="1041"/>
      <c r="U89" s="450"/>
      <c r="V89" s="1041"/>
      <c r="W89" s="1041"/>
      <c r="X89" s="1041"/>
      <c r="Y89" s="1041"/>
      <c r="Z89" s="1041"/>
      <c r="AA89" s="1495"/>
      <c r="AB89" s="472"/>
      <c r="AC89" s="472"/>
      <c r="AD89" s="472"/>
      <c r="AE89" s="472"/>
    </row>
    <row r="90" spans="1:31" s="14431" customFormat="1" ht="11.25" customHeight="1">
      <c r="A90" s="876"/>
      <c r="B90" s="1499"/>
      <c r="C90" s="1499"/>
      <c r="D90" s="267"/>
      <c r="K90" s="1041"/>
      <c r="L90" s="1499"/>
      <c r="M90" s="1499"/>
      <c r="N90" s="1041"/>
      <c r="O90" s="1041"/>
      <c r="P90" s="1041"/>
      <c r="Q90" s="1041"/>
      <c r="R90" s="1499"/>
      <c r="S90" s="1041"/>
      <c r="T90" s="1041"/>
      <c r="U90" s="450"/>
      <c r="V90" s="1041"/>
      <c r="W90" s="1041"/>
      <c r="X90" s="1041"/>
      <c r="Y90" s="1041"/>
      <c r="Z90" s="1041"/>
      <c r="AA90" s="1495"/>
      <c r="AB90" s="472"/>
      <c r="AC90" s="472"/>
      <c r="AD90" s="472"/>
      <c r="AE90" s="472"/>
    </row>
    <row r="91" spans="1:31" s="14431" customFormat="1" ht="11.25" customHeight="1">
      <c r="A91" s="876"/>
      <c r="B91" s="1499"/>
      <c r="C91" s="1499"/>
      <c r="D91" s="267"/>
      <c r="K91" s="1041"/>
      <c r="L91" s="1499"/>
      <c r="M91" s="1499"/>
      <c r="N91" s="1041"/>
      <c r="O91" s="1041"/>
      <c r="P91" s="1041"/>
      <c r="Q91" s="1041"/>
      <c r="R91" s="1499"/>
      <c r="S91" s="1041"/>
      <c r="T91" s="1041"/>
      <c r="U91" s="450"/>
      <c r="V91" s="1041"/>
      <c r="W91" s="1041"/>
      <c r="X91" s="1041"/>
      <c r="Y91" s="1041"/>
      <c r="Z91" s="1041"/>
      <c r="AA91" s="1495"/>
      <c r="AB91" s="472"/>
      <c r="AC91" s="472"/>
      <c r="AD91" s="472"/>
      <c r="AE91" s="472"/>
    </row>
    <row r="92" spans="1:31" s="14431" customFormat="1" ht="11.25" customHeight="1">
      <c r="A92" s="876"/>
      <c r="B92" s="1499"/>
      <c r="C92" s="1499"/>
      <c r="D92" s="267"/>
      <c r="K92" s="1041"/>
      <c r="L92" s="1499"/>
      <c r="M92" s="1499"/>
      <c r="N92" s="1041"/>
      <c r="O92" s="1041"/>
      <c r="P92" s="1041"/>
      <c r="Q92" s="1041"/>
      <c r="R92" s="1499"/>
      <c r="S92" s="1041"/>
      <c r="T92" s="1041"/>
      <c r="U92" s="450"/>
      <c r="V92" s="1041"/>
      <c r="W92" s="1041"/>
      <c r="X92" s="1041"/>
      <c r="Y92" s="1041"/>
      <c r="Z92" s="1041"/>
      <c r="AA92" s="1495"/>
      <c r="AB92" s="472"/>
      <c r="AC92" s="472"/>
      <c r="AD92" s="472"/>
      <c r="AE92" s="472"/>
    </row>
    <row r="93" spans="1:31" s="14431" customFormat="1" ht="11.25" customHeight="1">
      <c r="A93" s="876"/>
      <c r="B93" s="1499"/>
      <c r="C93" s="1499"/>
      <c r="D93" s="267"/>
      <c r="K93" s="1041"/>
      <c r="L93" s="1499"/>
      <c r="M93" s="1499"/>
      <c r="N93" s="1041"/>
      <c r="O93" s="1041"/>
      <c r="P93" s="1041"/>
      <c r="Q93" s="1041"/>
      <c r="R93" s="1499"/>
      <c r="S93" s="1041"/>
      <c r="T93" s="1041"/>
      <c r="U93" s="450"/>
      <c r="V93" s="1041"/>
      <c r="W93" s="1041"/>
      <c r="X93" s="1041"/>
      <c r="Y93" s="1041"/>
      <c r="Z93" s="1041"/>
      <c r="AA93" s="1495"/>
      <c r="AB93" s="472"/>
      <c r="AC93" s="472"/>
      <c r="AD93" s="472"/>
      <c r="AE93" s="472"/>
    </row>
    <row r="94" spans="1:31" s="14431" customFormat="1" ht="11.25" customHeight="1">
      <c r="A94" s="876"/>
      <c r="B94" s="1499"/>
      <c r="C94" s="1499"/>
      <c r="D94" s="267"/>
      <c r="K94" s="1041"/>
      <c r="L94" s="1499"/>
      <c r="M94" s="1499"/>
      <c r="N94" s="1041"/>
      <c r="O94" s="1041"/>
      <c r="P94" s="1041"/>
      <c r="Q94" s="1041"/>
      <c r="R94" s="1499"/>
      <c r="S94" s="1041"/>
      <c r="T94" s="1041"/>
      <c r="U94" s="450"/>
      <c r="V94" s="1041"/>
      <c r="W94" s="1041"/>
      <c r="X94" s="1041"/>
      <c r="Y94" s="1041"/>
      <c r="Z94" s="1041"/>
      <c r="AA94" s="1495"/>
      <c r="AB94" s="472"/>
      <c r="AC94" s="472"/>
      <c r="AD94" s="472"/>
      <c r="AE94" s="472"/>
    </row>
    <row r="95" spans="1:31" s="14431" customFormat="1" ht="11.25" customHeight="1">
      <c r="A95" s="876"/>
      <c r="B95" s="1499"/>
      <c r="C95" s="1499"/>
      <c r="D95" s="267"/>
      <c r="K95" s="1041"/>
      <c r="L95" s="1499"/>
      <c r="M95" s="1499"/>
      <c r="N95" s="1041"/>
      <c r="O95" s="1041"/>
      <c r="P95" s="1041"/>
      <c r="Q95" s="1041"/>
      <c r="R95" s="1499"/>
      <c r="S95" s="1041"/>
      <c r="T95" s="1041"/>
      <c r="U95" s="450"/>
      <c r="V95" s="1041"/>
      <c r="W95" s="1041"/>
      <c r="X95" s="1041"/>
      <c r="Y95" s="1041"/>
      <c r="Z95" s="1041"/>
      <c r="AA95" s="1495"/>
      <c r="AB95" s="472"/>
      <c r="AC95" s="472"/>
      <c r="AD95" s="472"/>
      <c r="AE95" s="472"/>
    </row>
    <row r="96" spans="1:31" s="14431" customFormat="1" ht="11.25" customHeight="1">
      <c r="A96" s="876"/>
      <c r="B96" s="1499"/>
      <c r="C96" s="1499"/>
      <c r="D96" s="267"/>
      <c r="K96" s="1041"/>
      <c r="L96" s="1499"/>
      <c r="M96" s="1499"/>
      <c r="N96" s="1041"/>
      <c r="O96" s="1041"/>
      <c r="P96" s="1041"/>
      <c r="Q96" s="1041"/>
      <c r="R96" s="1499"/>
      <c r="S96" s="1041"/>
      <c r="T96" s="1041"/>
      <c r="U96" s="450"/>
      <c r="V96" s="1041"/>
      <c r="W96" s="1041"/>
      <c r="X96" s="1041"/>
      <c r="Y96" s="1041"/>
      <c r="Z96" s="1041"/>
      <c r="AA96" s="1495"/>
      <c r="AB96" s="472"/>
      <c r="AC96" s="472"/>
      <c r="AD96" s="472"/>
      <c r="AE96" s="472"/>
    </row>
    <row r="97" spans="1:31" s="14431" customFormat="1" ht="11.25" customHeight="1">
      <c r="A97" s="876"/>
      <c r="B97" s="1499"/>
      <c r="C97" s="1499"/>
      <c r="D97" s="267"/>
      <c r="K97" s="1041"/>
      <c r="L97" s="1499"/>
      <c r="M97" s="1499"/>
      <c r="N97" s="1041"/>
      <c r="O97" s="1041"/>
      <c r="P97" s="1041"/>
      <c r="Q97" s="1041"/>
      <c r="R97" s="1499"/>
      <c r="S97" s="1041"/>
      <c r="T97" s="1041"/>
      <c r="U97" s="450"/>
      <c r="V97" s="1041"/>
      <c r="W97" s="1041"/>
      <c r="X97" s="1041"/>
      <c r="Y97" s="1041"/>
      <c r="Z97" s="1041"/>
      <c r="AA97" s="1495"/>
      <c r="AB97" s="472"/>
      <c r="AC97" s="472"/>
      <c r="AD97" s="472"/>
      <c r="AE97" s="472"/>
    </row>
    <row r="98" spans="1:31" s="14431" customFormat="1" ht="11.25" customHeight="1">
      <c r="A98" s="876"/>
      <c r="B98" s="1499"/>
      <c r="C98" s="1499"/>
      <c r="D98" s="267"/>
      <c r="K98" s="1041"/>
      <c r="L98" s="1499"/>
      <c r="M98" s="1499"/>
      <c r="N98" s="1041"/>
      <c r="O98" s="1041"/>
      <c r="P98" s="1041"/>
      <c r="Q98" s="1041"/>
      <c r="R98" s="1499"/>
      <c r="S98" s="1041"/>
      <c r="T98" s="1041"/>
      <c r="U98" s="450"/>
      <c r="V98" s="1041"/>
      <c r="W98" s="1041"/>
      <c r="X98" s="1041"/>
      <c r="Y98" s="1041"/>
      <c r="Z98" s="1041"/>
      <c r="AA98" s="1495"/>
      <c r="AB98" s="472"/>
      <c r="AC98" s="472"/>
      <c r="AD98" s="472"/>
      <c r="AE98" s="472"/>
    </row>
    <row r="99" spans="1:31" s="14431" customFormat="1" ht="11.25" customHeight="1">
      <c r="A99" s="876"/>
      <c r="B99" s="1499"/>
      <c r="C99" s="1499"/>
      <c r="D99" s="267"/>
      <c r="K99" s="1041"/>
      <c r="L99" s="1499"/>
      <c r="M99" s="1499"/>
      <c r="N99" s="1041"/>
      <c r="O99" s="1041"/>
      <c r="P99" s="1041"/>
      <c r="Q99" s="1041"/>
      <c r="R99" s="1499"/>
      <c r="S99" s="1041"/>
      <c r="T99" s="1041"/>
      <c r="U99" s="450"/>
      <c r="V99" s="1041"/>
      <c r="W99" s="1041"/>
      <c r="X99" s="1041"/>
      <c r="Y99" s="1041"/>
      <c r="Z99" s="1041"/>
      <c r="AA99" s="1495"/>
      <c r="AB99" s="472"/>
      <c r="AC99" s="472"/>
      <c r="AD99" s="472"/>
      <c r="AE99" s="472"/>
    </row>
    <row r="100" spans="1:31" s="14431" customFormat="1" ht="11.25" customHeight="1">
      <c r="A100" s="876"/>
      <c r="B100" s="1499"/>
      <c r="C100" s="1499"/>
      <c r="D100" s="267"/>
      <c r="K100" s="1041"/>
      <c r="L100" s="1499"/>
      <c r="M100" s="1499"/>
      <c r="N100" s="1041"/>
      <c r="O100" s="1041"/>
      <c r="P100" s="1041"/>
      <c r="Q100" s="1041"/>
      <c r="R100" s="1499"/>
      <c r="S100" s="1041"/>
      <c r="T100" s="1041"/>
      <c r="U100" s="450"/>
      <c r="V100" s="1041"/>
      <c r="W100" s="1041"/>
      <c r="X100" s="1041"/>
      <c r="Y100" s="1041"/>
      <c r="Z100" s="1041"/>
      <c r="AA100" s="1495"/>
      <c r="AB100" s="472"/>
      <c r="AC100" s="472"/>
      <c r="AD100" s="472"/>
      <c r="AE100" s="472"/>
    </row>
    <row r="101" spans="1:31" s="14431" customFormat="1" ht="11.25" customHeight="1">
      <c r="A101" s="876"/>
      <c r="B101" s="1499"/>
      <c r="C101" s="1499"/>
      <c r="D101" s="267"/>
      <c r="K101" s="1041"/>
      <c r="L101" s="1499"/>
      <c r="M101" s="1499"/>
      <c r="N101" s="1041"/>
      <c r="O101" s="1041"/>
      <c r="P101" s="1041"/>
      <c r="Q101" s="1041"/>
      <c r="R101" s="1499"/>
      <c r="S101" s="1041"/>
      <c r="T101" s="1041"/>
      <c r="U101" s="450"/>
      <c r="V101" s="1041"/>
      <c r="W101" s="1041"/>
      <c r="X101" s="1041"/>
      <c r="Y101" s="1041"/>
      <c r="Z101" s="1041"/>
      <c r="AA101" s="1495"/>
      <c r="AB101" s="472"/>
      <c r="AC101" s="472"/>
      <c r="AD101" s="472"/>
      <c r="AE101" s="472"/>
    </row>
    <row r="102" spans="1:31" s="14431" customFormat="1" ht="11.25" customHeight="1">
      <c r="A102" s="876"/>
      <c r="B102" s="1499"/>
      <c r="C102" s="1499"/>
      <c r="D102" s="267"/>
      <c r="K102" s="1041"/>
      <c r="L102" s="1499"/>
      <c r="M102" s="1499"/>
      <c r="N102" s="1041"/>
      <c r="O102" s="1041"/>
      <c r="P102" s="1041"/>
      <c r="Q102" s="1041"/>
      <c r="R102" s="1499"/>
      <c r="S102" s="1041"/>
      <c r="T102" s="1041"/>
      <c r="U102" s="450"/>
      <c r="V102" s="1041"/>
      <c r="W102" s="1041"/>
      <c r="X102" s="1041"/>
      <c r="Y102" s="1041"/>
      <c r="Z102" s="1041"/>
      <c r="AA102" s="1495"/>
      <c r="AB102" s="472"/>
      <c r="AC102" s="472"/>
      <c r="AD102" s="472"/>
      <c r="AE102" s="472"/>
    </row>
    <row r="103" spans="1:31" s="14431" customFormat="1" ht="11.25" customHeight="1">
      <c r="A103" s="876"/>
      <c r="B103" s="1499"/>
      <c r="C103" s="1499"/>
      <c r="D103" s="267"/>
      <c r="K103" s="1041"/>
      <c r="L103" s="1499"/>
      <c r="M103" s="1499"/>
      <c r="N103" s="1041"/>
      <c r="O103" s="1041"/>
      <c r="P103" s="1041"/>
      <c r="Q103" s="1041"/>
      <c r="R103" s="1499"/>
      <c r="S103" s="1041"/>
      <c r="T103" s="1041"/>
      <c r="U103" s="450"/>
      <c r="V103" s="1041"/>
      <c r="W103" s="1041"/>
      <c r="X103" s="1041"/>
      <c r="Y103" s="1041"/>
      <c r="Z103" s="1041"/>
      <c r="AA103" s="1495"/>
      <c r="AB103" s="472"/>
      <c r="AC103" s="472"/>
      <c r="AD103" s="472"/>
      <c r="AE103" s="472"/>
    </row>
    <row r="104" spans="1:31" s="14431" customFormat="1" ht="11.25" customHeight="1">
      <c r="A104" s="876"/>
      <c r="B104" s="1499"/>
      <c r="C104" s="1499"/>
      <c r="D104" s="267"/>
      <c r="K104" s="1041"/>
      <c r="L104" s="1499"/>
      <c r="M104" s="1499"/>
      <c r="N104" s="1041"/>
      <c r="O104" s="1041"/>
      <c r="P104" s="1041"/>
      <c r="Q104" s="1041"/>
      <c r="R104" s="1499"/>
      <c r="S104" s="1041"/>
      <c r="T104" s="1041"/>
      <c r="U104" s="450"/>
      <c r="V104" s="1041"/>
      <c r="W104" s="1041"/>
      <c r="X104" s="1041"/>
      <c r="Y104" s="1041"/>
      <c r="Z104" s="1041"/>
      <c r="AA104" s="1495"/>
      <c r="AB104" s="472"/>
      <c r="AC104" s="472"/>
      <c r="AD104" s="472"/>
      <c r="AE104" s="472"/>
    </row>
    <row r="105" spans="1:31" s="14431" customFormat="1" ht="11.25" customHeight="1">
      <c r="A105" s="876"/>
      <c r="B105" s="1499"/>
      <c r="C105" s="1499"/>
      <c r="D105" s="267"/>
      <c r="K105" s="1041"/>
      <c r="L105" s="1499"/>
      <c r="M105" s="1499"/>
      <c r="N105" s="1041"/>
      <c r="O105" s="1041"/>
      <c r="P105" s="1041"/>
      <c r="Q105" s="1041"/>
      <c r="R105" s="1499"/>
      <c r="S105" s="1041"/>
      <c r="T105" s="1041"/>
      <c r="U105" s="450"/>
      <c r="V105" s="1041"/>
      <c r="W105" s="1041"/>
      <c r="X105" s="1041"/>
      <c r="Y105" s="1041"/>
      <c r="Z105" s="1041"/>
      <c r="AA105" s="1495"/>
      <c r="AB105" s="472"/>
      <c r="AC105" s="472"/>
      <c r="AD105" s="472"/>
      <c r="AE105" s="472"/>
    </row>
    <row r="106" spans="1:31" s="14431" customFormat="1" ht="11.25" customHeight="1">
      <c r="A106" s="876"/>
      <c r="B106" s="1499"/>
      <c r="C106" s="1499"/>
      <c r="D106" s="267"/>
      <c r="K106" s="1041"/>
      <c r="L106" s="1499"/>
      <c r="M106" s="1499"/>
      <c r="N106" s="1041"/>
      <c r="O106" s="1041"/>
      <c r="P106" s="1041"/>
      <c r="Q106" s="1041"/>
      <c r="R106" s="1499"/>
      <c r="S106" s="1041"/>
      <c r="T106" s="1041"/>
      <c r="U106" s="450"/>
      <c r="V106" s="1041"/>
      <c r="W106" s="1041"/>
      <c r="X106" s="1041"/>
      <c r="Y106" s="1041"/>
      <c r="Z106" s="1041"/>
      <c r="AA106" s="1495"/>
      <c r="AB106" s="472"/>
      <c r="AC106" s="472"/>
      <c r="AD106" s="472"/>
      <c r="AE106" s="472"/>
    </row>
    <row r="107" spans="1:31" s="14431" customFormat="1" ht="11.25" customHeight="1">
      <c r="A107" s="876"/>
      <c r="B107" s="1499"/>
      <c r="C107" s="1499"/>
      <c r="D107" s="267"/>
      <c r="K107" s="1041"/>
      <c r="L107" s="1499"/>
      <c r="M107" s="1499"/>
      <c r="N107" s="1041"/>
      <c r="O107" s="1041"/>
      <c r="P107" s="1041"/>
      <c r="Q107" s="1041"/>
      <c r="R107" s="1499"/>
      <c r="S107" s="1041"/>
      <c r="T107" s="1041"/>
      <c r="U107" s="450"/>
      <c r="V107" s="1041"/>
      <c r="W107" s="1041"/>
      <c r="X107" s="1041"/>
      <c r="Y107" s="1041"/>
      <c r="Z107" s="1041"/>
      <c r="AA107" s="1495"/>
      <c r="AB107" s="472"/>
      <c r="AC107" s="472"/>
      <c r="AD107" s="472"/>
      <c r="AE107" s="472"/>
    </row>
    <row r="108" spans="1:31" s="14431" customFormat="1" ht="11.25" customHeight="1">
      <c r="A108" s="876"/>
      <c r="B108" s="1499"/>
      <c r="C108" s="1499"/>
      <c r="D108" s="267"/>
      <c r="K108" s="1041"/>
      <c r="L108" s="1499"/>
      <c r="M108" s="1499"/>
      <c r="N108" s="1041"/>
      <c r="O108" s="1041"/>
      <c r="P108" s="1041"/>
      <c r="Q108" s="1041"/>
      <c r="R108" s="1499"/>
      <c r="S108" s="1041"/>
      <c r="T108" s="1041"/>
      <c r="U108" s="450"/>
      <c r="V108" s="1041"/>
      <c r="W108" s="1041"/>
      <c r="X108" s="1041"/>
      <c r="Y108" s="1041"/>
      <c r="Z108" s="1041"/>
      <c r="AA108" s="1495"/>
      <c r="AB108" s="472"/>
      <c r="AC108" s="472"/>
      <c r="AD108" s="472"/>
      <c r="AE108" s="472"/>
    </row>
    <row r="109" spans="1:31" s="14431" customFormat="1" ht="11.25" customHeight="1">
      <c r="A109" s="876"/>
      <c r="B109" s="1499"/>
      <c r="C109" s="1499"/>
      <c r="D109" s="267"/>
      <c r="K109" s="1041"/>
      <c r="L109" s="1499"/>
      <c r="M109" s="1499"/>
      <c r="N109" s="1041"/>
      <c r="O109" s="1041"/>
      <c r="P109" s="1041"/>
      <c r="Q109" s="1041"/>
      <c r="R109" s="1499"/>
      <c r="S109" s="1041"/>
      <c r="T109" s="1041"/>
      <c r="U109" s="450"/>
      <c r="V109" s="1041"/>
      <c r="W109" s="1041"/>
      <c r="X109" s="1041"/>
      <c r="Y109" s="1041"/>
      <c r="Z109" s="1041"/>
      <c r="AA109" s="1495"/>
      <c r="AB109" s="472"/>
      <c r="AC109" s="472"/>
      <c r="AD109" s="472"/>
      <c r="AE109" s="472"/>
    </row>
    <row r="110" spans="1:31" s="14431" customFormat="1" ht="11.25" customHeight="1">
      <c r="A110" s="876"/>
      <c r="B110" s="1499"/>
      <c r="C110" s="1499"/>
      <c r="D110" s="267"/>
      <c r="K110" s="1041"/>
      <c r="L110" s="1499"/>
      <c r="M110" s="1499"/>
      <c r="N110" s="1041"/>
      <c r="O110" s="1041"/>
      <c r="P110" s="1041"/>
      <c r="Q110" s="1041"/>
      <c r="R110" s="1499"/>
      <c r="S110" s="1041"/>
      <c r="T110" s="1041"/>
      <c r="U110" s="450"/>
      <c r="V110" s="1041"/>
      <c r="W110" s="1041"/>
      <c r="X110" s="1041"/>
      <c r="Y110" s="1041"/>
      <c r="Z110" s="1041"/>
      <c r="AA110" s="1495"/>
      <c r="AB110" s="472"/>
      <c r="AC110" s="472"/>
      <c r="AD110" s="472"/>
      <c r="AE110" s="472"/>
    </row>
    <row r="111" spans="1:31" s="14431" customFormat="1" ht="11.25" customHeight="1">
      <c r="A111" s="876"/>
      <c r="B111" s="1499"/>
      <c r="C111" s="1499"/>
      <c r="D111" s="267"/>
      <c r="K111" s="1041"/>
      <c r="L111" s="1499"/>
      <c r="M111" s="1499"/>
      <c r="N111" s="1041"/>
      <c r="O111" s="1041"/>
      <c r="P111" s="1041"/>
      <c r="Q111" s="1041"/>
      <c r="R111" s="1499"/>
      <c r="S111" s="1041"/>
      <c r="T111" s="1041"/>
      <c r="U111" s="450"/>
      <c r="V111" s="1041"/>
      <c r="W111" s="1041"/>
      <c r="X111" s="1041"/>
      <c r="Y111" s="1041"/>
      <c r="Z111" s="1041"/>
      <c r="AA111" s="1495"/>
      <c r="AB111" s="472"/>
      <c r="AC111" s="472"/>
      <c r="AD111" s="472"/>
      <c r="AE111" s="472"/>
    </row>
    <row r="112" spans="1:31" s="14431" customFormat="1" ht="11.25" customHeight="1">
      <c r="A112" s="876"/>
      <c r="B112" s="1499"/>
      <c r="C112" s="1499"/>
      <c r="D112" s="267"/>
      <c r="K112" s="1041"/>
      <c r="L112" s="1499"/>
      <c r="M112" s="1499"/>
      <c r="N112" s="1041"/>
      <c r="O112" s="1041"/>
      <c r="P112" s="1041"/>
      <c r="Q112" s="1041"/>
      <c r="R112" s="1499"/>
      <c r="S112" s="1041"/>
      <c r="T112" s="1041"/>
      <c r="U112" s="450"/>
      <c r="V112" s="1041"/>
      <c r="W112" s="1041"/>
      <c r="X112" s="1041"/>
      <c r="Y112" s="1041"/>
      <c r="Z112" s="1041"/>
      <c r="AA112" s="1495"/>
      <c r="AB112" s="472"/>
      <c r="AC112" s="472"/>
      <c r="AD112" s="472"/>
      <c r="AE112" s="472"/>
    </row>
    <row r="113" spans="1:31" s="14431" customFormat="1" ht="11.25" customHeight="1">
      <c r="A113" s="876"/>
      <c r="B113" s="1499"/>
      <c r="C113" s="1499"/>
      <c r="D113" s="267"/>
      <c r="K113" s="1041"/>
      <c r="L113" s="1499"/>
      <c r="M113" s="1499"/>
      <c r="N113" s="1041"/>
      <c r="O113" s="1041"/>
      <c r="P113" s="1041"/>
      <c r="Q113" s="1041"/>
      <c r="R113" s="1499"/>
      <c r="S113" s="1041"/>
      <c r="T113" s="1041"/>
      <c r="U113" s="450"/>
      <c r="V113" s="1041"/>
      <c r="W113" s="1041"/>
      <c r="X113" s="1041"/>
      <c r="Y113" s="1041"/>
      <c r="Z113" s="1041"/>
      <c r="AA113" s="1495"/>
      <c r="AB113" s="472"/>
      <c r="AC113" s="472"/>
      <c r="AD113" s="472"/>
      <c r="AE113" s="472"/>
    </row>
    <row r="114" spans="1:31" s="14431" customFormat="1" ht="11.25" customHeight="1">
      <c r="A114" s="876"/>
      <c r="B114" s="1499"/>
      <c r="C114" s="1499"/>
      <c r="D114" s="267"/>
      <c r="K114" s="1041"/>
      <c r="L114" s="1499"/>
      <c r="M114" s="1499"/>
      <c r="N114" s="1041"/>
      <c r="O114" s="1041"/>
      <c r="P114" s="1041"/>
      <c r="Q114" s="1041"/>
      <c r="R114" s="1499"/>
      <c r="S114" s="1041"/>
      <c r="T114" s="1041"/>
      <c r="U114" s="450"/>
      <c r="V114" s="1041"/>
      <c r="W114" s="1041"/>
      <c r="X114" s="1041"/>
      <c r="Y114" s="1041"/>
      <c r="Z114" s="1041"/>
      <c r="AA114" s="1495"/>
      <c r="AB114" s="472"/>
      <c r="AC114" s="472"/>
      <c r="AD114" s="472"/>
      <c r="AE114" s="472"/>
    </row>
    <row r="115" spans="1:31" s="14431" customFormat="1" ht="11.25" customHeight="1">
      <c r="A115" s="876"/>
      <c r="B115" s="1499"/>
      <c r="C115" s="1499"/>
      <c r="D115" s="267"/>
      <c r="K115" s="1041"/>
      <c r="L115" s="1499"/>
      <c r="M115" s="1499"/>
      <c r="N115" s="1041"/>
      <c r="O115" s="1041"/>
      <c r="P115" s="1041"/>
      <c r="Q115" s="1041"/>
      <c r="R115" s="1499"/>
      <c r="S115" s="1041"/>
      <c r="T115" s="1041"/>
      <c r="U115" s="450"/>
      <c r="V115" s="1041"/>
      <c r="W115" s="1041"/>
      <c r="X115" s="1041"/>
      <c r="Y115" s="1041"/>
      <c r="Z115" s="1041"/>
      <c r="AA115" s="1495"/>
      <c r="AB115" s="472"/>
      <c r="AC115" s="472"/>
      <c r="AD115" s="472"/>
      <c r="AE115" s="472"/>
    </row>
    <row r="116" spans="1:31" s="14431" customFormat="1" ht="11.25" customHeight="1">
      <c r="A116" s="876"/>
      <c r="B116" s="1499"/>
      <c r="C116" s="1499"/>
      <c r="D116" s="267"/>
      <c r="K116" s="1041"/>
      <c r="L116" s="1499"/>
      <c r="M116" s="1499"/>
      <c r="N116" s="1041"/>
      <c r="O116" s="1041"/>
      <c r="P116" s="1041"/>
      <c r="Q116" s="1041"/>
      <c r="R116" s="1499"/>
      <c r="S116" s="1041"/>
      <c r="T116" s="1041"/>
      <c r="U116" s="450"/>
      <c r="V116" s="1041"/>
      <c r="W116" s="1041"/>
      <c r="X116" s="1041"/>
      <c r="Y116" s="1041"/>
      <c r="Z116" s="1041"/>
      <c r="AA116" s="1495"/>
      <c r="AB116" s="472"/>
      <c r="AC116" s="472"/>
      <c r="AD116" s="472"/>
      <c r="AE116" s="472"/>
    </row>
    <row r="117" spans="1:31" s="14431" customFormat="1" ht="11.25" customHeight="1">
      <c r="A117" s="876"/>
      <c r="B117" s="1499"/>
      <c r="C117" s="1499"/>
      <c r="D117" s="267"/>
      <c r="K117" s="1041"/>
      <c r="L117" s="1499"/>
      <c r="M117" s="1499"/>
      <c r="N117" s="1041"/>
      <c r="O117" s="1041"/>
      <c r="P117" s="1041"/>
      <c r="Q117" s="1041"/>
      <c r="R117" s="1499"/>
      <c r="S117" s="1041"/>
      <c r="T117" s="1041"/>
      <c r="U117" s="450"/>
      <c r="V117" s="1041"/>
      <c r="W117" s="1041"/>
      <c r="X117" s="1041"/>
      <c r="Y117" s="1041"/>
      <c r="Z117" s="1041"/>
      <c r="AA117" s="1495"/>
      <c r="AB117" s="472"/>
      <c r="AC117" s="472"/>
      <c r="AD117" s="472"/>
      <c r="AE117" s="472"/>
    </row>
    <row r="118" spans="1:31" s="14431" customFormat="1" ht="11.25" customHeight="1">
      <c r="A118" s="876"/>
      <c r="B118" s="1499"/>
      <c r="C118" s="1499"/>
      <c r="D118" s="267"/>
      <c r="K118" s="1041"/>
      <c r="L118" s="1499"/>
      <c r="M118" s="1499"/>
      <c r="N118" s="1041"/>
      <c r="O118" s="1041"/>
      <c r="P118" s="1041"/>
      <c r="Q118" s="1041"/>
      <c r="R118" s="1499"/>
      <c r="S118" s="1041"/>
      <c r="T118" s="1041"/>
      <c r="U118" s="450"/>
      <c r="V118" s="1041"/>
      <c r="W118" s="1041"/>
      <c r="X118" s="1041"/>
      <c r="Y118" s="1041"/>
      <c r="Z118" s="1041"/>
      <c r="AA118" s="1495"/>
      <c r="AB118" s="472"/>
      <c r="AC118" s="472"/>
      <c r="AD118" s="472"/>
      <c r="AE118" s="472"/>
    </row>
    <row r="119" spans="1:31" s="14431" customFormat="1" ht="11.25" customHeight="1">
      <c r="A119" s="876"/>
      <c r="B119" s="1499"/>
      <c r="C119" s="1499"/>
      <c r="D119" s="267"/>
      <c r="K119" s="1041"/>
      <c r="L119" s="1499"/>
      <c r="M119" s="1499"/>
      <c r="N119" s="1041"/>
      <c r="O119" s="1041"/>
      <c r="P119" s="1041"/>
      <c r="Q119" s="1041"/>
      <c r="R119" s="1499"/>
      <c r="S119" s="1041"/>
      <c r="T119" s="1041"/>
      <c r="U119" s="450"/>
      <c r="V119" s="1041"/>
      <c r="W119" s="1041"/>
      <c r="X119" s="1041"/>
      <c r="Y119" s="1041"/>
      <c r="Z119" s="1041"/>
      <c r="AA119" s="1495"/>
      <c r="AB119" s="472"/>
      <c r="AC119" s="472"/>
      <c r="AD119" s="472"/>
      <c r="AE119" s="472"/>
    </row>
    <row r="120" spans="1:31" s="14431" customFormat="1" ht="11.25" customHeight="1">
      <c r="A120" s="876"/>
      <c r="B120" s="1499"/>
      <c r="C120" s="1499"/>
      <c r="D120" s="267"/>
      <c r="K120" s="1041"/>
      <c r="L120" s="1499"/>
      <c r="M120" s="1499"/>
      <c r="N120" s="1041"/>
      <c r="O120" s="1041"/>
      <c r="P120" s="1041"/>
      <c r="Q120" s="1041"/>
      <c r="R120" s="1499"/>
      <c r="S120" s="1041"/>
      <c r="T120" s="1041"/>
      <c r="U120" s="450"/>
      <c r="V120" s="1041"/>
      <c r="W120" s="1041"/>
      <c r="X120" s="1041"/>
      <c r="Y120" s="1041"/>
      <c r="Z120" s="1041"/>
      <c r="AA120" s="1495"/>
      <c r="AB120" s="472"/>
      <c r="AC120" s="472"/>
      <c r="AD120" s="472"/>
      <c r="AE120" s="472"/>
    </row>
    <row r="121" spans="1:31" s="14431" customFormat="1" ht="11.25" customHeight="1">
      <c r="A121" s="876"/>
      <c r="B121" s="1499"/>
      <c r="C121" s="1499"/>
      <c r="D121" s="267"/>
      <c r="K121" s="1041"/>
      <c r="L121" s="1499"/>
      <c r="M121" s="1499"/>
      <c r="N121" s="1041"/>
      <c r="O121" s="1041"/>
      <c r="P121" s="1041"/>
      <c r="Q121" s="1041"/>
      <c r="R121" s="1499"/>
      <c r="S121" s="1041"/>
      <c r="T121" s="1041"/>
      <c r="U121" s="450"/>
      <c r="V121" s="1041"/>
      <c r="W121" s="1041"/>
      <c r="X121" s="1041"/>
      <c r="Y121" s="1041"/>
      <c r="Z121" s="1041"/>
      <c r="AA121" s="1495"/>
      <c r="AB121" s="472"/>
      <c r="AC121" s="472"/>
      <c r="AD121" s="472"/>
      <c r="AE121" s="472"/>
    </row>
    <row r="122" spans="1:31" s="14431" customFormat="1" ht="11.25" customHeight="1">
      <c r="A122" s="876"/>
      <c r="B122" s="1499"/>
      <c r="C122" s="1499"/>
      <c r="D122" s="267"/>
      <c r="K122" s="1041"/>
      <c r="L122" s="1499"/>
      <c r="M122" s="1499"/>
      <c r="N122" s="1041"/>
      <c r="O122" s="1041"/>
      <c r="P122" s="1041"/>
      <c r="Q122" s="1041"/>
      <c r="R122" s="1499"/>
      <c r="S122" s="1041"/>
      <c r="T122" s="1041"/>
      <c r="U122" s="450"/>
      <c r="V122" s="1041"/>
      <c r="W122" s="1041"/>
      <c r="X122" s="1041"/>
      <c r="Y122" s="1041"/>
      <c r="Z122" s="1041"/>
      <c r="AA122" s="1495"/>
      <c r="AB122" s="472"/>
      <c r="AC122" s="472"/>
      <c r="AD122" s="472"/>
      <c r="AE122" s="472"/>
    </row>
    <row r="123" spans="1:31" s="14431" customFormat="1" ht="11.25" customHeight="1">
      <c r="A123" s="876"/>
      <c r="B123" s="1499"/>
      <c r="C123" s="1499"/>
      <c r="D123" s="267"/>
      <c r="K123" s="1041"/>
      <c r="L123" s="1499"/>
      <c r="M123" s="1499"/>
      <c r="N123" s="1041"/>
      <c r="O123" s="1041"/>
      <c r="P123" s="1041"/>
      <c r="Q123" s="1041"/>
      <c r="R123" s="1499"/>
      <c r="S123" s="1041"/>
      <c r="T123" s="1041"/>
      <c r="U123" s="450"/>
      <c r="V123" s="1041"/>
      <c r="W123" s="1041"/>
      <c r="X123" s="1041"/>
      <c r="Y123" s="1041"/>
      <c r="Z123" s="1041"/>
      <c r="AA123" s="1495"/>
      <c r="AB123" s="472"/>
      <c r="AC123" s="472"/>
      <c r="AD123" s="472"/>
      <c r="AE123" s="472"/>
    </row>
    <row r="124" spans="1:31" s="14431" customFormat="1" ht="11.25" customHeight="1">
      <c r="A124" s="876"/>
      <c r="B124" s="1499"/>
      <c r="C124" s="1499"/>
      <c r="D124" s="267"/>
      <c r="K124" s="1041"/>
      <c r="L124" s="1499"/>
      <c r="M124" s="1499"/>
      <c r="N124" s="1041"/>
      <c r="O124" s="1041"/>
      <c r="P124" s="1041"/>
      <c r="Q124" s="1041"/>
      <c r="R124" s="1499"/>
      <c r="S124" s="1041"/>
      <c r="T124" s="1041"/>
      <c r="U124" s="450"/>
      <c r="V124" s="1041"/>
      <c r="W124" s="1041"/>
      <c r="X124" s="1041"/>
      <c r="Y124" s="1041"/>
      <c r="Z124" s="1041"/>
      <c r="AA124" s="1495"/>
      <c r="AB124" s="472"/>
      <c r="AC124" s="472"/>
      <c r="AD124" s="472"/>
      <c r="AE124" s="472"/>
    </row>
    <row r="125" spans="1:31" s="14431" customFormat="1" ht="11.25" customHeight="1">
      <c r="A125" s="876"/>
      <c r="B125" s="1499"/>
      <c r="C125" s="1499"/>
      <c r="D125" s="267"/>
      <c r="K125" s="1041"/>
      <c r="L125" s="1499"/>
      <c r="M125" s="1499"/>
      <c r="N125" s="1041"/>
      <c r="O125" s="1041"/>
      <c r="P125" s="1041"/>
      <c r="Q125" s="1041"/>
      <c r="R125" s="1499"/>
      <c r="S125" s="1041"/>
      <c r="T125" s="1041"/>
      <c r="U125" s="450"/>
      <c r="V125" s="1041"/>
      <c r="W125" s="1041"/>
      <c r="X125" s="1041"/>
      <c r="Y125" s="1041"/>
      <c r="Z125" s="1041"/>
      <c r="AA125" s="1495"/>
      <c r="AB125" s="472"/>
      <c r="AC125" s="472"/>
      <c r="AD125" s="472"/>
      <c r="AE125" s="472"/>
    </row>
    <row r="126" spans="1:31" s="14431" customFormat="1" ht="11.25" customHeight="1">
      <c r="A126" s="876"/>
      <c r="B126" s="1499"/>
      <c r="C126" s="1499"/>
      <c r="D126" s="267"/>
      <c r="K126" s="1041"/>
      <c r="L126" s="1499"/>
      <c r="M126" s="1499"/>
      <c r="N126" s="1041"/>
      <c r="O126" s="1041"/>
      <c r="P126" s="1041"/>
      <c r="Q126" s="1041"/>
      <c r="R126" s="1499"/>
      <c r="S126" s="1041"/>
      <c r="T126" s="1041"/>
      <c r="U126" s="450"/>
      <c r="V126" s="1041"/>
      <c r="W126" s="1041"/>
      <c r="X126" s="1041"/>
      <c r="Y126" s="1041"/>
      <c r="Z126" s="1041"/>
      <c r="AA126" s="1495"/>
      <c r="AB126" s="472"/>
      <c r="AC126" s="472"/>
      <c r="AD126" s="472"/>
      <c r="AE126" s="472"/>
    </row>
    <row r="127" spans="1:31" s="14431" customFormat="1" ht="11.25" customHeight="1">
      <c r="A127" s="876"/>
      <c r="B127" s="1499"/>
      <c r="C127" s="1499"/>
      <c r="D127" s="267"/>
      <c r="K127" s="1041"/>
      <c r="L127" s="1499"/>
      <c r="M127" s="1499"/>
      <c r="N127" s="1041"/>
      <c r="O127" s="1041"/>
      <c r="P127" s="1041"/>
      <c r="Q127" s="1041"/>
      <c r="R127" s="1499"/>
      <c r="S127" s="1041"/>
      <c r="T127" s="1041"/>
      <c r="U127" s="450"/>
      <c r="V127" s="1041"/>
      <c r="W127" s="1041"/>
      <c r="X127" s="1041"/>
      <c r="Y127" s="1041"/>
      <c r="Z127" s="1041"/>
      <c r="AA127" s="1495"/>
      <c r="AB127" s="472"/>
      <c r="AC127" s="472"/>
      <c r="AD127" s="472"/>
      <c r="AE127" s="472"/>
    </row>
    <row r="128" spans="1:31" s="14431" customFormat="1" ht="11.25" customHeight="1">
      <c r="A128" s="876"/>
      <c r="B128" s="1499"/>
      <c r="C128" s="1499"/>
      <c r="D128" s="267"/>
      <c r="K128" s="1041"/>
      <c r="L128" s="1499"/>
      <c r="M128" s="1499"/>
      <c r="N128" s="1041"/>
      <c r="O128" s="1041"/>
      <c r="P128" s="1041"/>
      <c r="Q128" s="1041"/>
      <c r="R128" s="1499"/>
      <c r="S128" s="1041"/>
      <c r="T128" s="1041"/>
      <c r="U128" s="450"/>
      <c r="V128" s="1041"/>
      <c r="W128" s="1041"/>
      <c r="X128" s="1041"/>
      <c r="Y128" s="1041"/>
      <c r="Z128" s="1041"/>
      <c r="AA128" s="1495"/>
      <c r="AB128" s="472"/>
      <c r="AC128" s="472"/>
      <c r="AD128" s="472"/>
      <c r="AE128" s="472"/>
    </row>
    <row r="129" spans="1:31" s="14431" customFormat="1" ht="11.25" customHeight="1">
      <c r="A129" s="876"/>
      <c r="B129" s="1499"/>
      <c r="C129" s="1499"/>
      <c r="D129" s="267"/>
      <c r="K129" s="1041"/>
      <c r="L129" s="1499"/>
      <c r="M129" s="1499"/>
      <c r="N129" s="1041"/>
      <c r="O129" s="1041"/>
      <c r="P129" s="1041"/>
      <c r="Q129" s="1041"/>
      <c r="R129" s="1499"/>
      <c r="S129" s="1041"/>
      <c r="T129" s="1041"/>
      <c r="U129" s="450"/>
      <c r="V129" s="1041"/>
      <c r="W129" s="1041"/>
      <c r="X129" s="1041"/>
      <c r="Y129" s="1041"/>
      <c r="Z129" s="1041"/>
      <c r="AA129" s="1495"/>
      <c r="AB129" s="472"/>
      <c r="AC129" s="472"/>
      <c r="AD129" s="472"/>
      <c r="AE129" s="472"/>
    </row>
    <row r="130" spans="1:31" s="14431" customFormat="1" ht="11.25" customHeight="1">
      <c r="A130" s="876"/>
      <c r="B130" s="1499"/>
      <c r="C130" s="1499"/>
      <c r="D130" s="267"/>
      <c r="K130" s="1041"/>
      <c r="L130" s="1499"/>
      <c r="M130" s="1499"/>
      <c r="N130" s="1041"/>
      <c r="O130" s="1041"/>
      <c r="P130" s="1041"/>
      <c r="Q130" s="1041"/>
      <c r="R130" s="1499"/>
      <c r="S130" s="1041"/>
      <c r="T130" s="1041"/>
      <c r="U130" s="450"/>
      <c r="V130" s="1041"/>
      <c r="W130" s="1041"/>
      <c r="X130" s="1041"/>
      <c r="Y130" s="1041"/>
      <c r="Z130" s="1041"/>
      <c r="AA130" s="1495"/>
      <c r="AB130" s="472"/>
      <c r="AC130" s="472"/>
      <c r="AD130" s="472"/>
      <c r="AE130" s="472"/>
    </row>
    <row r="131" spans="1:31" s="14431" customFormat="1" ht="11.25" customHeight="1">
      <c r="A131" s="876"/>
      <c r="B131" s="1499"/>
      <c r="C131" s="1499"/>
      <c r="D131" s="267"/>
      <c r="K131" s="1041"/>
      <c r="L131" s="1499"/>
      <c r="M131" s="1499"/>
      <c r="N131" s="1041"/>
      <c r="O131" s="1041"/>
      <c r="P131" s="1041"/>
      <c r="Q131" s="1041"/>
      <c r="R131" s="1499"/>
      <c r="S131" s="1041"/>
      <c r="T131" s="1041"/>
      <c r="U131" s="450"/>
      <c r="V131" s="1041"/>
      <c r="W131" s="1041"/>
      <c r="X131" s="1041"/>
      <c r="Y131" s="1041"/>
      <c r="Z131" s="1041"/>
      <c r="AA131" s="1495"/>
      <c r="AB131" s="472"/>
      <c r="AC131" s="472"/>
      <c r="AD131" s="472"/>
      <c r="AE131" s="472"/>
    </row>
    <row r="132" spans="1:31" s="14431" customFormat="1" ht="11.25" customHeight="1">
      <c r="A132" s="876"/>
      <c r="B132" s="1499"/>
      <c r="C132" s="1499"/>
      <c r="D132" s="267"/>
      <c r="K132" s="1041"/>
      <c r="L132" s="1499"/>
      <c r="M132" s="1499"/>
      <c r="N132" s="1041"/>
      <c r="O132" s="1041"/>
      <c r="P132" s="1041"/>
      <c r="Q132" s="1041"/>
      <c r="R132" s="1499"/>
      <c r="S132" s="1041"/>
      <c r="T132" s="1041"/>
      <c r="U132" s="450"/>
      <c r="V132" s="1041"/>
      <c r="W132" s="1041"/>
      <c r="X132" s="1041"/>
      <c r="Y132" s="1041"/>
      <c r="Z132" s="1041"/>
      <c r="AA132" s="1495"/>
      <c r="AB132" s="472"/>
      <c r="AC132" s="472"/>
      <c r="AD132" s="472"/>
      <c r="AE132" s="472"/>
    </row>
    <row r="133" spans="1:31" s="14431" customFormat="1" ht="11.25" customHeight="1">
      <c r="A133" s="876"/>
      <c r="B133" s="1499"/>
      <c r="C133" s="1499"/>
      <c r="D133" s="267"/>
      <c r="K133" s="1041"/>
      <c r="L133" s="1499"/>
      <c r="M133" s="1499"/>
      <c r="N133" s="1041"/>
      <c r="O133" s="1041"/>
      <c r="P133" s="1041"/>
      <c r="Q133" s="1041"/>
      <c r="R133" s="1499"/>
      <c r="S133" s="1041"/>
      <c r="T133" s="1041"/>
      <c r="U133" s="450"/>
      <c r="V133" s="1041"/>
      <c r="W133" s="1041"/>
      <c r="X133" s="1041"/>
      <c r="Y133" s="1041"/>
      <c r="Z133" s="1041"/>
      <c r="AA133" s="1495"/>
      <c r="AB133" s="472"/>
      <c r="AC133" s="472"/>
      <c r="AD133" s="472"/>
      <c r="AE133" s="472"/>
    </row>
    <row r="134" spans="1:31" s="14431" customFormat="1" ht="11.25" customHeight="1">
      <c r="A134" s="876"/>
      <c r="B134" s="1499"/>
      <c r="C134" s="1499"/>
      <c r="D134" s="267"/>
      <c r="K134" s="1041"/>
      <c r="L134" s="1499"/>
      <c r="M134" s="1499"/>
      <c r="N134" s="1041"/>
      <c r="O134" s="1041"/>
      <c r="P134" s="1041"/>
      <c r="Q134" s="1041"/>
      <c r="R134" s="1499"/>
      <c r="S134" s="1041"/>
      <c r="T134" s="1041"/>
      <c r="U134" s="450"/>
      <c r="V134" s="1041"/>
      <c r="W134" s="1041"/>
      <c r="X134" s="1041"/>
      <c r="Y134" s="1041"/>
      <c r="Z134" s="1041"/>
      <c r="AA134" s="1495"/>
      <c r="AB134" s="472"/>
      <c r="AC134" s="472"/>
      <c r="AD134" s="472"/>
      <c r="AE134" s="472"/>
    </row>
    <row r="135" spans="1:31" s="14431" customFormat="1" ht="11.25" customHeight="1">
      <c r="A135" s="876"/>
      <c r="B135" s="1499"/>
      <c r="C135" s="1499"/>
      <c r="D135" s="267"/>
      <c r="K135" s="1041"/>
      <c r="L135" s="1499"/>
      <c r="M135" s="1499"/>
      <c r="N135" s="1041"/>
      <c r="O135" s="1041"/>
      <c r="P135" s="1041"/>
      <c r="Q135" s="1041"/>
      <c r="R135" s="1499"/>
      <c r="S135" s="1041"/>
      <c r="T135" s="1041"/>
      <c r="U135" s="450"/>
      <c r="V135" s="1041"/>
      <c r="W135" s="1041"/>
      <c r="X135" s="1041"/>
      <c r="Y135" s="1041"/>
      <c r="Z135" s="1041"/>
      <c r="AA135" s="1495"/>
      <c r="AB135" s="472"/>
      <c r="AC135" s="472"/>
      <c r="AD135" s="472"/>
      <c r="AE135" s="472"/>
    </row>
    <row r="136" spans="1:31" s="14431" customFormat="1" ht="11.25" customHeight="1">
      <c r="A136" s="876"/>
      <c r="B136" s="1499"/>
      <c r="C136" s="1499"/>
      <c r="D136" s="267"/>
      <c r="K136" s="1041"/>
      <c r="L136" s="1499"/>
      <c r="M136" s="1499"/>
      <c r="N136" s="1041"/>
      <c r="O136" s="1041"/>
      <c r="P136" s="1041"/>
      <c r="Q136" s="1041"/>
      <c r="R136" s="1499"/>
      <c r="S136" s="1041"/>
      <c r="T136" s="1041"/>
      <c r="U136" s="450"/>
      <c r="V136" s="1041"/>
      <c r="W136" s="1041"/>
      <c r="X136" s="1041"/>
      <c r="Y136" s="1041"/>
      <c r="Z136" s="1041"/>
      <c r="AA136" s="1495"/>
      <c r="AB136" s="472"/>
      <c r="AC136" s="472"/>
      <c r="AD136" s="472"/>
      <c r="AE136" s="472"/>
    </row>
    <row r="137" spans="1:31" s="14431" customFormat="1" ht="11.25" customHeight="1">
      <c r="A137" s="876"/>
      <c r="B137" s="1499"/>
      <c r="C137" s="1499"/>
      <c r="D137" s="267"/>
      <c r="K137" s="1041"/>
      <c r="L137" s="1499"/>
      <c r="M137" s="1499"/>
      <c r="N137" s="1041"/>
      <c r="O137" s="1041"/>
      <c r="P137" s="1041"/>
      <c r="Q137" s="1041"/>
      <c r="R137" s="1499"/>
      <c r="S137" s="1041"/>
      <c r="T137" s="1041"/>
      <c r="U137" s="450"/>
      <c r="V137" s="1041"/>
      <c r="W137" s="1041"/>
      <c r="X137" s="1041"/>
      <c r="Y137" s="1041"/>
      <c r="Z137" s="1041"/>
      <c r="AA137" s="1495"/>
      <c r="AB137" s="472"/>
      <c r="AC137" s="472"/>
      <c r="AD137" s="472"/>
      <c r="AE137" s="472"/>
    </row>
    <row r="138" spans="1:31" s="14431" customFormat="1" ht="11.25" customHeight="1">
      <c r="A138" s="876"/>
      <c r="B138" s="1499"/>
      <c r="C138" s="1499"/>
      <c r="D138" s="267"/>
      <c r="K138" s="1041"/>
      <c r="L138" s="1499"/>
      <c r="M138" s="1499"/>
      <c r="N138" s="1041"/>
      <c r="O138" s="1041"/>
      <c r="P138" s="1041"/>
      <c r="Q138" s="1041"/>
      <c r="R138" s="1499"/>
      <c r="S138" s="1041"/>
      <c r="T138" s="1041"/>
      <c r="U138" s="450"/>
      <c r="V138" s="1041"/>
      <c r="W138" s="1041"/>
      <c r="X138" s="1041"/>
      <c r="Y138" s="1041"/>
      <c r="Z138" s="1041"/>
      <c r="AA138" s="1495"/>
      <c r="AB138" s="472"/>
      <c r="AC138" s="472"/>
      <c r="AD138" s="472"/>
      <c r="AE138" s="472"/>
    </row>
    <row r="139" spans="1:31" s="14431" customFormat="1" ht="11.25" customHeight="1">
      <c r="A139" s="876"/>
      <c r="B139" s="1499"/>
      <c r="C139" s="1499"/>
      <c r="D139" s="267"/>
      <c r="K139" s="1041"/>
      <c r="L139" s="1499"/>
      <c r="M139" s="1499"/>
      <c r="N139" s="1041"/>
      <c r="O139" s="1041"/>
      <c r="P139" s="1041"/>
      <c r="Q139" s="1041"/>
      <c r="R139" s="1499"/>
      <c r="S139" s="1041"/>
      <c r="T139" s="1041"/>
      <c r="U139" s="450"/>
      <c r="V139" s="1041"/>
      <c r="W139" s="1041"/>
      <c r="X139" s="1041"/>
      <c r="Y139" s="1041"/>
      <c r="Z139" s="1041"/>
      <c r="AA139" s="1495"/>
      <c r="AB139" s="472"/>
      <c r="AC139" s="472"/>
      <c r="AD139" s="472"/>
      <c r="AE139" s="472"/>
    </row>
    <row r="140" spans="1:31" s="14431" customFormat="1" ht="11.25" customHeight="1">
      <c r="A140" s="876"/>
      <c r="B140" s="1499"/>
      <c r="C140" s="1499"/>
      <c r="D140" s="267"/>
      <c r="K140" s="1041"/>
      <c r="L140" s="1499"/>
      <c r="M140" s="1499"/>
      <c r="N140" s="1041"/>
      <c r="O140" s="1041"/>
      <c r="P140" s="1041"/>
      <c r="Q140" s="1041"/>
      <c r="R140" s="1499"/>
      <c r="S140" s="1041"/>
      <c r="T140" s="1041"/>
      <c r="U140" s="450"/>
      <c r="V140" s="1041"/>
      <c r="W140" s="1041"/>
      <c r="X140" s="1041"/>
      <c r="Y140" s="1041"/>
      <c r="Z140" s="1041"/>
      <c r="AA140" s="1495"/>
      <c r="AB140" s="472"/>
      <c r="AC140" s="472"/>
      <c r="AD140" s="472"/>
      <c r="AE140" s="472"/>
    </row>
    <row r="141" spans="1:31" s="14431" customFormat="1" ht="11.25" customHeight="1">
      <c r="A141" s="876"/>
      <c r="B141" s="1499"/>
      <c r="C141" s="1499"/>
      <c r="D141" s="267"/>
      <c r="K141" s="1041"/>
      <c r="L141" s="1499"/>
      <c r="M141" s="1499"/>
      <c r="N141" s="1041"/>
      <c r="O141" s="1041"/>
      <c r="P141" s="1041"/>
      <c r="Q141" s="1041"/>
      <c r="R141" s="1499"/>
      <c r="S141" s="1041"/>
      <c r="T141" s="1041"/>
      <c r="U141" s="450"/>
      <c r="V141" s="1041"/>
      <c r="W141" s="1041"/>
      <c r="X141" s="1041"/>
      <c r="Y141" s="1041"/>
      <c r="Z141" s="1041"/>
      <c r="AA141" s="1495"/>
      <c r="AB141" s="472"/>
      <c r="AC141" s="472"/>
      <c r="AD141" s="472"/>
      <c r="AE141" s="472"/>
    </row>
    <row r="142" spans="1:31" s="14431" customFormat="1" ht="11.25" customHeight="1">
      <c r="A142" s="876"/>
      <c r="B142" s="1499"/>
      <c r="C142" s="1499"/>
      <c r="D142" s="267"/>
      <c r="K142" s="1041"/>
      <c r="L142" s="1499"/>
      <c r="M142" s="1499"/>
      <c r="N142" s="1041"/>
      <c r="O142" s="1041"/>
      <c r="P142" s="1041"/>
      <c r="Q142" s="1041"/>
      <c r="R142" s="1499"/>
      <c r="S142" s="1041"/>
      <c r="T142" s="1041"/>
      <c r="U142" s="450"/>
      <c r="V142" s="1041"/>
      <c r="W142" s="1041"/>
      <c r="X142" s="1041"/>
      <c r="Y142" s="1041"/>
      <c r="Z142" s="1041"/>
      <c r="AA142" s="1495"/>
      <c r="AB142" s="472"/>
      <c r="AC142" s="472"/>
      <c r="AD142" s="472"/>
      <c r="AE142" s="472"/>
    </row>
    <row r="143" spans="1:31" s="14431" customFormat="1" ht="11.25" customHeight="1">
      <c r="A143" s="876"/>
      <c r="B143" s="1499"/>
      <c r="C143" s="1499"/>
      <c r="D143" s="267"/>
      <c r="K143" s="1041"/>
      <c r="L143" s="1499"/>
      <c r="M143" s="1499"/>
      <c r="N143" s="1041"/>
      <c r="O143" s="1041"/>
      <c r="P143" s="1041"/>
      <c r="Q143" s="1041"/>
      <c r="R143" s="1499"/>
      <c r="S143" s="1041"/>
      <c r="T143" s="1041"/>
      <c r="U143" s="450"/>
      <c r="V143" s="1041"/>
      <c r="W143" s="1041"/>
      <c r="X143" s="1041"/>
      <c r="Y143" s="1041"/>
      <c r="Z143" s="1041"/>
      <c r="AA143" s="1495"/>
      <c r="AB143" s="472"/>
      <c r="AC143" s="472"/>
      <c r="AD143" s="472"/>
      <c r="AE143" s="472"/>
    </row>
    <row r="144" spans="1:31" s="14431" customFormat="1" ht="11.25" customHeight="1">
      <c r="A144" s="876"/>
      <c r="B144" s="1499"/>
      <c r="C144" s="1499"/>
      <c r="D144" s="267"/>
      <c r="K144" s="1041"/>
      <c r="L144" s="1499"/>
      <c r="M144" s="1499"/>
      <c r="N144" s="1041"/>
      <c r="O144" s="1041"/>
      <c r="P144" s="1041"/>
      <c r="Q144" s="1041"/>
      <c r="R144" s="1499"/>
      <c r="S144" s="1041"/>
      <c r="T144" s="1041"/>
      <c r="U144" s="450"/>
      <c r="V144" s="1041"/>
      <c r="W144" s="1041"/>
      <c r="X144" s="1041"/>
      <c r="Y144" s="1041"/>
      <c r="Z144" s="1041"/>
      <c r="AA144" s="1495"/>
      <c r="AB144" s="472"/>
      <c r="AC144" s="472"/>
      <c r="AD144" s="472"/>
      <c r="AE144" s="472"/>
    </row>
    <row r="145" spans="1:31" s="14431" customFormat="1" ht="11.25" customHeight="1">
      <c r="A145" s="876"/>
      <c r="B145" s="1499"/>
      <c r="C145" s="1499"/>
      <c r="D145" s="267"/>
      <c r="K145" s="1041"/>
      <c r="L145" s="1499"/>
      <c r="M145" s="1499"/>
      <c r="N145" s="1041"/>
      <c r="O145" s="1041"/>
      <c r="P145" s="1041"/>
      <c r="Q145" s="1041"/>
      <c r="R145" s="1499"/>
      <c r="S145" s="1041"/>
      <c r="T145" s="1041"/>
      <c r="U145" s="450"/>
      <c r="V145" s="1041"/>
      <c r="W145" s="1041"/>
      <c r="X145" s="1041"/>
      <c r="Y145" s="1041"/>
      <c r="Z145" s="1041"/>
      <c r="AA145" s="1495"/>
      <c r="AB145" s="472"/>
      <c r="AC145" s="472"/>
      <c r="AD145" s="472"/>
      <c r="AE145" s="472"/>
    </row>
    <row r="146" spans="1:31" s="14431" customFormat="1" ht="11.25" customHeight="1">
      <c r="A146" s="876"/>
      <c r="B146" s="1499"/>
      <c r="C146" s="1499"/>
      <c r="D146" s="267"/>
      <c r="K146" s="1041"/>
      <c r="L146" s="1499"/>
      <c r="M146" s="1499"/>
      <c r="N146" s="1041"/>
      <c r="O146" s="1041"/>
      <c r="P146" s="1041"/>
      <c r="Q146" s="1041"/>
      <c r="R146" s="1499"/>
      <c r="S146" s="1041"/>
      <c r="T146" s="1041"/>
      <c r="U146" s="450"/>
      <c r="V146" s="1041"/>
      <c r="W146" s="1041"/>
      <c r="X146" s="1041"/>
      <c r="Y146" s="1041"/>
      <c r="Z146" s="1041"/>
      <c r="AA146" s="1495"/>
      <c r="AB146" s="472"/>
      <c r="AC146" s="472"/>
      <c r="AD146" s="472"/>
      <c r="AE146" s="472"/>
    </row>
    <row r="147" spans="1:31" s="14431" customFormat="1" ht="11.25" customHeight="1">
      <c r="A147" s="876"/>
      <c r="B147" s="1499"/>
      <c r="C147" s="1499"/>
      <c r="D147" s="267"/>
      <c r="K147" s="1041"/>
      <c r="L147" s="1499"/>
      <c r="M147" s="1499"/>
      <c r="N147" s="1041"/>
      <c r="O147" s="1041"/>
      <c r="P147" s="1041"/>
      <c r="Q147" s="1041"/>
      <c r="R147" s="1499"/>
      <c r="S147" s="1041"/>
      <c r="T147" s="1041"/>
      <c r="U147" s="450"/>
      <c r="V147" s="1041"/>
      <c r="W147" s="1041"/>
      <c r="X147" s="1041"/>
      <c r="Y147" s="1041"/>
      <c r="Z147" s="1041"/>
      <c r="AA147" s="1495"/>
      <c r="AB147" s="472"/>
      <c r="AC147" s="472"/>
      <c r="AD147" s="472"/>
      <c r="AE147" s="472"/>
    </row>
    <row r="148" spans="1:31" s="14431" customFormat="1" ht="11.25" customHeight="1">
      <c r="A148" s="876"/>
      <c r="B148" s="1499"/>
      <c r="C148" s="1499"/>
      <c r="D148" s="267"/>
      <c r="K148" s="1041"/>
      <c r="L148" s="1499"/>
      <c r="M148" s="1499"/>
      <c r="N148" s="1041"/>
      <c r="O148" s="1041"/>
      <c r="P148" s="1041"/>
      <c r="Q148" s="1041"/>
      <c r="R148" s="1499"/>
      <c r="S148" s="1041"/>
      <c r="T148" s="1041"/>
      <c r="U148" s="450"/>
      <c r="V148" s="1041"/>
      <c r="W148" s="1041"/>
      <c r="X148" s="1041"/>
      <c r="Y148" s="1041"/>
      <c r="Z148" s="1041"/>
      <c r="AA148" s="1495"/>
      <c r="AB148" s="472"/>
      <c r="AC148" s="472"/>
      <c r="AD148" s="472"/>
      <c r="AE148" s="472"/>
    </row>
    <row r="149" spans="1:31" s="14431" customFormat="1" ht="11.25" customHeight="1">
      <c r="A149" s="876"/>
      <c r="B149" s="1499"/>
      <c r="C149" s="1499"/>
      <c r="D149" s="267"/>
      <c r="K149" s="1041"/>
      <c r="L149" s="1499"/>
      <c r="M149" s="1499"/>
      <c r="N149" s="1041"/>
      <c r="O149" s="1041"/>
      <c r="P149" s="1041"/>
      <c r="Q149" s="1041"/>
      <c r="R149" s="1499"/>
      <c r="S149" s="1041"/>
      <c r="T149" s="1041"/>
      <c r="U149" s="450"/>
      <c r="V149" s="1041"/>
      <c r="W149" s="1041"/>
      <c r="X149" s="1041"/>
      <c r="Y149" s="1041"/>
      <c r="Z149" s="1041"/>
      <c r="AA149" s="1495"/>
      <c r="AB149" s="472"/>
      <c r="AC149" s="472"/>
      <c r="AD149" s="472"/>
      <c r="AE149" s="472"/>
    </row>
    <row r="150" spans="1:31" s="14431" customFormat="1" ht="11.25" customHeight="1">
      <c r="A150" s="876"/>
      <c r="B150" s="1499"/>
      <c r="C150" s="1499"/>
      <c r="D150" s="267"/>
      <c r="K150" s="1041"/>
      <c r="L150" s="1499"/>
      <c r="M150" s="1499"/>
      <c r="N150" s="1041"/>
      <c r="O150" s="1041"/>
      <c r="P150" s="1041"/>
      <c r="Q150" s="1041"/>
      <c r="R150" s="1499"/>
      <c r="S150" s="1041"/>
      <c r="T150" s="1041"/>
      <c r="U150" s="450"/>
      <c r="V150" s="1041"/>
      <c r="W150" s="1041"/>
      <c r="X150" s="1041"/>
      <c r="Y150" s="1041"/>
      <c r="Z150" s="1041"/>
      <c r="AA150" s="1495"/>
      <c r="AB150" s="472"/>
      <c r="AC150" s="472"/>
      <c r="AD150" s="472"/>
      <c r="AE150" s="472"/>
    </row>
    <row r="151" spans="1:31" s="14431" customFormat="1" ht="11.25" customHeight="1">
      <c r="A151" s="876"/>
      <c r="B151" s="1499"/>
      <c r="C151" s="1499"/>
      <c r="D151" s="267"/>
      <c r="K151" s="1041"/>
      <c r="L151" s="1499"/>
      <c r="M151" s="1499"/>
      <c r="N151" s="1041"/>
      <c r="O151" s="1041"/>
      <c r="P151" s="1041"/>
      <c r="Q151" s="1041"/>
      <c r="R151" s="1499"/>
      <c r="S151" s="1041"/>
      <c r="T151" s="1041"/>
      <c r="U151" s="450"/>
      <c r="V151" s="1041"/>
      <c r="W151" s="1041"/>
      <c r="X151" s="1041"/>
      <c r="Y151" s="1041"/>
      <c r="Z151" s="1041"/>
      <c r="AA151" s="1495"/>
      <c r="AB151" s="472"/>
      <c r="AC151" s="472"/>
      <c r="AD151" s="472"/>
      <c r="AE151" s="472"/>
    </row>
    <row r="152" spans="1:31" s="14431" customFormat="1" ht="11.25" customHeight="1">
      <c r="A152" s="876"/>
      <c r="B152" s="1499"/>
      <c r="C152" s="1499"/>
      <c r="D152" s="267"/>
      <c r="K152" s="1041"/>
      <c r="L152" s="1499"/>
      <c r="M152" s="1499"/>
      <c r="N152" s="1041"/>
      <c r="O152" s="1041"/>
      <c r="P152" s="1041"/>
      <c r="Q152" s="1041"/>
      <c r="R152" s="1499"/>
      <c r="S152" s="1041"/>
      <c r="T152" s="1041"/>
      <c r="U152" s="450"/>
      <c r="V152" s="1041"/>
      <c r="W152" s="1041"/>
      <c r="X152" s="1041"/>
      <c r="Y152" s="1041"/>
      <c r="Z152" s="1041"/>
      <c r="AA152" s="1495"/>
      <c r="AB152" s="472"/>
      <c r="AC152" s="472"/>
      <c r="AD152" s="472"/>
      <c r="AE152" s="472"/>
    </row>
    <row r="153" spans="1:31" s="14431" customFormat="1" ht="11.25" customHeight="1">
      <c r="A153" s="876"/>
      <c r="B153" s="1499"/>
      <c r="C153" s="1499"/>
      <c r="D153" s="267"/>
      <c r="K153" s="1041"/>
      <c r="L153" s="1499"/>
      <c r="M153" s="1499"/>
      <c r="N153" s="1041"/>
      <c r="O153" s="1041"/>
      <c r="P153" s="1041"/>
      <c r="Q153" s="1041"/>
      <c r="R153" s="1499"/>
      <c r="S153" s="1041"/>
      <c r="T153" s="1041"/>
      <c r="U153" s="450"/>
      <c r="V153" s="1041"/>
      <c r="W153" s="1041"/>
      <c r="X153" s="1041"/>
      <c r="Y153" s="1041"/>
      <c r="Z153" s="1041"/>
      <c r="AA153" s="1495"/>
      <c r="AB153" s="472"/>
      <c r="AC153" s="472"/>
      <c r="AD153" s="472"/>
      <c r="AE153" s="472"/>
    </row>
    <row r="154" spans="1:31" s="14431" customFormat="1" ht="11.25" customHeight="1">
      <c r="A154" s="876"/>
      <c r="B154" s="1499"/>
      <c r="C154" s="1499"/>
      <c r="D154" s="267"/>
      <c r="K154" s="1041"/>
      <c r="L154" s="1499"/>
      <c r="M154" s="1499"/>
      <c r="N154" s="1041"/>
      <c r="O154" s="1041"/>
      <c r="P154" s="1041"/>
      <c r="Q154" s="1041"/>
      <c r="R154" s="1499"/>
      <c r="S154" s="1041"/>
      <c r="T154" s="1041"/>
      <c r="U154" s="450"/>
      <c r="V154" s="1041"/>
      <c r="W154" s="1041"/>
      <c r="X154" s="1041"/>
      <c r="Y154" s="1041"/>
      <c r="Z154" s="1041"/>
      <c r="AA154" s="1495"/>
      <c r="AB154" s="472"/>
      <c r="AC154" s="472"/>
      <c r="AD154" s="472"/>
      <c r="AE154" s="472"/>
    </row>
    <row r="155" spans="1:31" s="14431" customFormat="1" ht="11.25" customHeight="1">
      <c r="A155" s="876"/>
      <c r="B155" s="1499"/>
      <c r="C155" s="1499"/>
      <c r="D155" s="267"/>
      <c r="K155" s="1041"/>
      <c r="L155" s="1499"/>
      <c r="M155" s="1499"/>
      <c r="N155" s="1041"/>
      <c r="O155" s="1041"/>
      <c r="P155" s="1041"/>
      <c r="Q155" s="1041"/>
      <c r="R155" s="1499"/>
      <c r="S155" s="1041"/>
      <c r="T155" s="1041"/>
      <c r="U155" s="450"/>
      <c r="V155" s="1041"/>
      <c r="W155" s="1041"/>
      <c r="X155" s="1041"/>
      <c r="Y155" s="1041"/>
      <c r="Z155" s="1041"/>
      <c r="AA155" s="1495"/>
      <c r="AB155" s="472"/>
      <c r="AC155" s="472"/>
      <c r="AD155" s="472"/>
      <c r="AE155" s="472"/>
    </row>
    <row r="156" spans="1:31" s="14431" customFormat="1" ht="11.25" customHeight="1">
      <c r="A156" s="876"/>
      <c r="B156" s="1499"/>
      <c r="C156" s="1499"/>
      <c r="D156" s="267"/>
      <c r="K156" s="1041"/>
      <c r="L156" s="1499"/>
      <c r="M156" s="1499"/>
      <c r="N156" s="1041"/>
      <c r="O156" s="1041"/>
      <c r="P156" s="1041"/>
      <c r="Q156" s="1041"/>
      <c r="R156" s="1499"/>
      <c r="S156" s="1041"/>
      <c r="T156" s="1041"/>
      <c r="U156" s="450"/>
      <c r="V156" s="1041"/>
      <c r="W156" s="1041"/>
      <c r="X156" s="1041"/>
      <c r="Y156" s="1041"/>
      <c r="Z156" s="1041"/>
      <c r="AA156" s="1495"/>
      <c r="AB156" s="472"/>
      <c r="AC156" s="472"/>
      <c r="AD156" s="472"/>
      <c r="AE156" s="472"/>
    </row>
    <row r="157" spans="1:31" s="14431" customFormat="1" ht="11.25" customHeight="1">
      <c r="A157" s="876"/>
      <c r="B157" s="1499"/>
      <c r="C157" s="1499"/>
      <c r="D157" s="267"/>
      <c r="K157" s="1041"/>
      <c r="L157" s="1499"/>
      <c r="M157" s="1499"/>
      <c r="N157" s="1041"/>
      <c r="O157" s="1041"/>
      <c r="P157" s="1041"/>
      <c r="Q157" s="1041"/>
      <c r="R157" s="1499"/>
      <c r="S157" s="1041"/>
      <c r="T157" s="1041"/>
      <c r="U157" s="450"/>
      <c r="V157" s="1041"/>
      <c r="W157" s="1041"/>
      <c r="X157" s="1041"/>
      <c r="Y157" s="1041"/>
      <c r="Z157" s="1041"/>
      <c r="AA157" s="1495"/>
      <c r="AB157" s="472"/>
      <c r="AC157" s="472"/>
      <c r="AD157" s="472"/>
      <c r="AE157" s="472"/>
    </row>
    <row r="158" spans="1:31" s="14431" customFormat="1" ht="11.25" customHeight="1">
      <c r="A158" s="876"/>
      <c r="B158" s="1499"/>
      <c r="C158" s="1499"/>
      <c r="D158" s="267"/>
      <c r="K158" s="1041"/>
      <c r="L158" s="1499"/>
      <c r="M158" s="1499"/>
      <c r="N158" s="1041"/>
      <c r="O158" s="1041"/>
      <c r="P158" s="1041"/>
      <c r="Q158" s="1041"/>
      <c r="R158" s="1499"/>
      <c r="S158" s="1041"/>
      <c r="T158" s="1041"/>
      <c r="U158" s="450"/>
      <c r="V158" s="1041"/>
      <c r="W158" s="1041"/>
      <c r="X158" s="1041"/>
      <c r="Y158" s="1041"/>
      <c r="Z158" s="1041"/>
      <c r="AA158" s="1495"/>
      <c r="AB158" s="472"/>
      <c r="AC158" s="472"/>
      <c r="AD158" s="472"/>
      <c r="AE158" s="472"/>
    </row>
    <row r="159" spans="1:31" s="14431" customFormat="1" ht="11.25" customHeight="1">
      <c r="A159" s="876"/>
      <c r="B159" s="1499"/>
      <c r="C159" s="1499"/>
      <c r="D159" s="267"/>
      <c r="K159" s="1041"/>
      <c r="L159" s="1499"/>
      <c r="M159" s="1499"/>
      <c r="N159" s="1041"/>
      <c r="O159" s="1041"/>
      <c r="P159" s="1041"/>
      <c r="Q159" s="1041"/>
      <c r="R159" s="1499"/>
      <c r="S159" s="1041"/>
      <c r="T159" s="1041"/>
      <c r="U159" s="450"/>
      <c r="V159" s="1041"/>
      <c r="W159" s="1041"/>
      <c r="X159" s="1041"/>
      <c r="Y159" s="1041"/>
      <c r="Z159" s="1041"/>
      <c r="AA159" s="1495"/>
      <c r="AB159" s="472"/>
      <c r="AC159" s="472"/>
      <c r="AD159" s="472"/>
      <c r="AE159" s="472"/>
    </row>
    <row r="160" spans="1:31" s="14431" customFormat="1" ht="11.25" customHeight="1">
      <c r="A160" s="876"/>
      <c r="B160" s="1499"/>
      <c r="C160" s="1499"/>
      <c r="D160" s="267"/>
      <c r="K160" s="1041"/>
      <c r="L160" s="1499"/>
      <c r="M160" s="1499"/>
      <c r="N160" s="1041"/>
      <c r="O160" s="1041"/>
      <c r="P160" s="1041"/>
      <c r="Q160" s="1041"/>
      <c r="R160" s="1499"/>
      <c r="S160" s="1041"/>
      <c r="T160" s="1041"/>
      <c r="U160" s="450"/>
      <c r="V160" s="1041"/>
      <c r="W160" s="1041"/>
      <c r="X160" s="1041"/>
      <c r="Y160" s="1041"/>
      <c r="Z160" s="1041"/>
      <c r="AA160" s="1495"/>
      <c r="AB160" s="472"/>
      <c r="AC160" s="472"/>
      <c r="AD160" s="472"/>
      <c r="AE160" s="472"/>
    </row>
    <row r="161" spans="1:31" s="14431" customFormat="1" ht="11.25" customHeight="1">
      <c r="A161" s="876"/>
      <c r="B161" s="1499"/>
      <c r="C161" s="1499"/>
      <c r="D161" s="267"/>
      <c r="K161" s="1041"/>
      <c r="L161" s="1499"/>
      <c r="M161" s="1499"/>
      <c r="N161" s="1041"/>
      <c r="O161" s="1041"/>
      <c r="P161" s="1041"/>
      <c r="Q161" s="1041"/>
      <c r="R161" s="1499"/>
      <c r="S161" s="1041"/>
      <c r="T161" s="1041"/>
      <c r="U161" s="450"/>
      <c r="V161" s="1041"/>
      <c r="W161" s="1041"/>
      <c r="X161" s="1041"/>
      <c r="Y161" s="1041"/>
      <c r="Z161" s="1041"/>
      <c r="AA161" s="1495"/>
      <c r="AB161" s="472"/>
      <c r="AC161" s="472"/>
      <c r="AD161" s="472"/>
      <c r="AE161" s="472"/>
    </row>
    <row r="162" spans="1:31" s="14431" customFormat="1" ht="11.25" customHeight="1">
      <c r="A162" s="876"/>
      <c r="B162" s="1499"/>
      <c r="C162" s="1499"/>
      <c r="D162" s="267"/>
      <c r="K162" s="1041"/>
      <c r="L162" s="1499"/>
      <c r="M162" s="1499"/>
      <c r="N162" s="1041"/>
      <c r="O162" s="1041"/>
      <c r="P162" s="1041"/>
      <c r="Q162" s="1041"/>
      <c r="R162" s="1499"/>
      <c r="S162" s="1041"/>
      <c r="T162" s="1041"/>
      <c r="U162" s="450"/>
      <c r="V162" s="1041"/>
      <c r="W162" s="1041"/>
      <c r="X162" s="1041"/>
      <c r="Y162" s="1041"/>
      <c r="Z162" s="1041"/>
      <c r="AA162" s="1495"/>
      <c r="AB162" s="472"/>
      <c r="AC162" s="472"/>
      <c r="AD162" s="472"/>
      <c r="AE162" s="472"/>
    </row>
    <row r="163" spans="1:31" s="14431" customFormat="1" ht="11.25" customHeight="1">
      <c r="A163" s="876"/>
      <c r="B163" s="1499"/>
      <c r="C163" s="1499"/>
      <c r="D163" s="267"/>
      <c r="K163" s="1041"/>
      <c r="L163" s="1499"/>
      <c r="M163" s="1499"/>
      <c r="N163" s="1041"/>
      <c r="O163" s="1041"/>
      <c r="P163" s="1041"/>
      <c r="Q163" s="1041"/>
      <c r="R163" s="1499"/>
      <c r="S163" s="1041"/>
      <c r="T163" s="1041"/>
      <c r="U163" s="450"/>
      <c r="V163" s="1041"/>
      <c r="W163" s="1041"/>
      <c r="X163" s="1041"/>
      <c r="Y163" s="1041"/>
      <c r="Z163" s="1041"/>
      <c r="AA163" s="1495"/>
      <c r="AB163" s="472"/>
      <c r="AC163" s="472"/>
      <c r="AD163" s="472"/>
      <c r="AE163" s="472"/>
    </row>
    <row r="164" spans="1:31" s="14431" customFormat="1" ht="11.25" customHeight="1">
      <c r="A164" s="876"/>
      <c r="B164" s="1499"/>
      <c r="C164" s="1499"/>
      <c r="D164" s="267"/>
      <c r="K164" s="1041"/>
      <c r="L164" s="1499"/>
      <c r="M164" s="1499"/>
      <c r="N164" s="1041"/>
      <c r="O164" s="1041"/>
      <c r="P164" s="1041"/>
      <c r="Q164" s="1041"/>
      <c r="R164" s="1499"/>
      <c r="S164" s="1041"/>
      <c r="T164" s="1041"/>
      <c r="U164" s="450"/>
      <c r="V164" s="1041"/>
      <c r="W164" s="1041"/>
      <c r="X164" s="1041"/>
      <c r="Y164" s="1041"/>
      <c r="Z164" s="1041"/>
      <c r="AA164" s="1495"/>
      <c r="AB164" s="472"/>
      <c r="AC164" s="472"/>
      <c r="AD164" s="472"/>
      <c r="AE164" s="472"/>
    </row>
    <row r="165" spans="1:31" s="14431" customFormat="1" ht="11.25" customHeight="1">
      <c r="A165" s="876"/>
      <c r="B165" s="1499"/>
      <c r="C165" s="1499"/>
      <c r="D165" s="267"/>
      <c r="K165" s="1041"/>
      <c r="L165" s="1499"/>
      <c r="M165" s="1499"/>
      <c r="N165" s="1041"/>
      <c r="O165" s="1041"/>
      <c r="P165" s="1041"/>
      <c r="Q165" s="1041"/>
      <c r="R165" s="1499"/>
      <c r="S165" s="1041"/>
      <c r="T165" s="1041"/>
      <c r="U165" s="450"/>
      <c r="V165" s="1041"/>
      <c r="W165" s="1041"/>
      <c r="X165" s="1041"/>
      <c r="Y165" s="1041"/>
      <c r="Z165" s="1041"/>
      <c r="AA165" s="1495"/>
      <c r="AB165" s="472"/>
      <c r="AC165" s="472"/>
      <c r="AD165" s="472"/>
      <c r="AE165" s="472"/>
    </row>
    <row r="166" spans="1:31" s="14431" customFormat="1" ht="11.25" customHeight="1">
      <c r="A166" s="876"/>
      <c r="B166" s="1499"/>
      <c r="C166" s="1499"/>
      <c r="D166" s="267"/>
      <c r="K166" s="1041"/>
      <c r="L166" s="1499"/>
      <c r="M166" s="1499"/>
      <c r="N166" s="1041"/>
      <c r="O166" s="1041"/>
      <c r="P166" s="1041"/>
      <c r="Q166" s="1041"/>
      <c r="R166" s="1499"/>
      <c r="S166" s="1041"/>
      <c r="T166" s="1041"/>
      <c r="U166" s="450"/>
      <c r="V166" s="1041"/>
      <c r="W166" s="1041"/>
      <c r="X166" s="1041"/>
      <c r="Y166" s="1041"/>
      <c r="Z166" s="1041"/>
      <c r="AA166" s="1495"/>
      <c r="AB166" s="472"/>
      <c r="AC166" s="472"/>
      <c r="AD166" s="472"/>
      <c r="AE166" s="472"/>
    </row>
    <row r="167" spans="1:31" s="14431" customFormat="1" ht="11.25" customHeight="1">
      <c r="A167" s="876"/>
      <c r="B167" s="1499"/>
      <c r="C167" s="1499"/>
      <c r="D167" s="267"/>
      <c r="K167" s="1041"/>
      <c r="L167" s="1499"/>
      <c r="M167" s="1499"/>
      <c r="N167" s="1041"/>
      <c r="O167" s="1041"/>
      <c r="P167" s="1041"/>
      <c r="Q167" s="1041"/>
      <c r="R167" s="1499"/>
      <c r="S167" s="1041"/>
      <c r="T167" s="1041"/>
      <c r="U167" s="450"/>
      <c r="V167" s="1041"/>
      <c r="W167" s="1041"/>
      <c r="X167" s="1041"/>
      <c r="Y167" s="1041"/>
      <c r="Z167" s="1041"/>
      <c r="AA167" s="1495"/>
      <c r="AB167" s="472"/>
      <c r="AC167" s="472"/>
      <c r="AD167" s="472"/>
      <c r="AE167" s="472"/>
    </row>
    <row r="168" spans="1:31" s="14431" customFormat="1" ht="11.25" customHeight="1">
      <c r="A168" s="876"/>
      <c r="B168" s="1499"/>
      <c r="C168" s="1499"/>
      <c r="D168" s="267"/>
      <c r="K168" s="1041"/>
      <c r="L168" s="1499"/>
      <c r="M168" s="1499"/>
      <c r="N168" s="1041"/>
      <c r="O168" s="1041"/>
      <c r="P168" s="1041"/>
      <c r="Q168" s="1041"/>
      <c r="R168" s="1499"/>
      <c r="S168" s="1041"/>
      <c r="T168" s="1041"/>
      <c r="U168" s="450"/>
      <c r="V168" s="1041"/>
      <c r="W168" s="1041"/>
      <c r="X168" s="1041"/>
      <c r="Y168" s="1041"/>
      <c r="Z168" s="1041"/>
      <c r="AA168" s="1495"/>
      <c r="AB168" s="472"/>
      <c r="AC168" s="472"/>
      <c r="AD168" s="472"/>
      <c r="AE168" s="472"/>
    </row>
    <row r="169" spans="1:31" s="14431" customFormat="1" ht="11.25" customHeight="1">
      <c r="A169" s="876"/>
      <c r="B169" s="1499"/>
      <c r="C169" s="1499"/>
      <c r="D169" s="267"/>
      <c r="K169" s="1041"/>
      <c r="L169" s="1499"/>
      <c r="M169" s="1499"/>
      <c r="N169" s="1041"/>
      <c r="O169" s="1041"/>
      <c r="P169" s="1041"/>
      <c r="Q169" s="1041"/>
      <c r="R169" s="1499"/>
      <c r="S169" s="1041"/>
      <c r="T169" s="1041"/>
      <c r="U169" s="450"/>
      <c r="V169" s="1041"/>
      <c r="W169" s="1041"/>
      <c r="X169" s="1041"/>
      <c r="Y169" s="1041"/>
      <c r="Z169" s="1041"/>
      <c r="AA169" s="1495"/>
      <c r="AB169" s="472"/>
      <c r="AC169" s="472"/>
      <c r="AD169" s="472"/>
      <c r="AE169" s="472"/>
    </row>
    <row r="170" spans="1:31" s="14431" customFormat="1" ht="11.25" customHeight="1">
      <c r="A170" s="876"/>
      <c r="B170" s="1499"/>
      <c r="C170" s="1499"/>
      <c r="D170" s="267"/>
      <c r="K170" s="1041"/>
      <c r="L170" s="1499"/>
      <c r="M170" s="1499"/>
      <c r="N170" s="1041"/>
      <c r="O170" s="1041"/>
      <c r="P170" s="1041"/>
      <c r="Q170" s="1041"/>
      <c r="R170" s="1499"/>
      <c r="S170" s="1041"/>
      <c r="T170" s="1041"/>
      <c r="U170" s="450"/>
      <c r="V170" s="1041"/>
      <c r="W170" s="1041"/>
      <c r="X170" s="1041"/>
      <c r="Y170" s="1041"/>
      <c r="Z170" s="1041"/>
      <c r="AA170" s="1495"/>
      <c r="AB170" s="472"/>
      <c r="AC170" s="472"/>
      <c r="AD170" s="472"/>
      <c r="AE170" s="472"/>
    </row>
    <row r="171" spans="1:31" s="14431" customFormat="1" ht="11.25" customHeight="1">
      <c r="A171" s="876"/>
      <c r="B171" s="1499"/>
      <c r="C171" s="1499"/>
      <c r="D171" s="267"/>
      <c r="K171" s="1041"/>
      <c r="L171" s="1499"/>
      <c r="M171" s="1499"/>
      <c r="N171" s="1041"/>
      <c r="O171" s="1041"/>
      <c r="P171" s="1041"/>
      <c r="Q171" s="1041"/>
      <c r="R171" s="1499"/>
      <c r="S171" s="1041"/>
      <c r="T171" s="1041"/>
      <c r="U171" s="450"/>
      <c r="V171" s="1041"/>
      <c r="W171" s="1041"/>
      <c r="X171" s="1041"/>
      <c r="Y171" s="1041"/>
      <c r="Z171" s="1041"/>
      <c r="AA171" s="1495"/>
      <c r="AB171" s="472"/>
      <c r="AC171" s="472"/>
      <c r="AD171" s="472"/>
      <c r="AE171" s="472"/>
    </row>
    <row r="172" spans="1:31" s="14431" customFormat="1" ht="11.25" customHeight="1">
      <c r="A172" s="876"/>
      <c r="B172" s="1499"/>
      <c r="C172" s="1499"/>
      <c r="D172" s="267"/>
      <c r="K172" s="1041"/>
      <c r="L172" s="1499"/>
      <c r="M172" s="1499"/>
      <c r="N172" s="1041"/>
      <c r="O172" s="1041"/>
      <c r="P172" s="1041"/>
      <c r="Q172" s="1041"/>
      <c r="R172" s="1499"/>
      <c r="S172" s="1041"/>
      <c r="T172" s="1041"/>
      <c r="U172" s="450"/>
      <c r="V172" s="1041"/>
      <c r="W172" s="1041"/>
      <c r="X172" s="1041"/>
      <c r="Y172" s="1041"/>
      <c r="Z172" s="1041"/>
      <c r="AA172" s="1495"/>
      <c r="AB172" s="472"/>
      <c r="AC172" s="472"/>
      <c r="AD172" s="472"/>
      <c r="AE172" s="472"/>
    </row>
    <row r="173" spans="1:31" s="14431" customFormat="1" ht="11.25" customHeight="1">
      <c r="A173" s="876"/>
      <c r="B173" s="1499"/>
      <c r="C173" s="1499"/>
      <c r="D173" s="267"/>
      <c r="K173" s="1041"/>
      <c r="L173" s="1499"/>
      <c r="M173" s="1499"/>
      <c r="N173" s="1041"/>
      <c r="O173" s="1041"/>
      <c r="P173" s="1041"/>
      <c r="Q173" s="1041"/>
      <c r="R173" s="1499"/>
      <c r="S173" s="1041"/>
      <c r="T173" s="1041"/>
      <c r="U173" s="450"/>
      <c r="V173" s="1041"/>
      <c r="W173" s="1041"/>
      <c r="X173" s="1041"/>
      <c r="Y173" s="1041"/>
      <c r="Z173" s="1041"/>
      <c r="AA173" s="1495"/>
      <c r="AB173" s="472"/>
      <c r="AC173" s="472"/>
      <c r="AD173" s="472"/>
      <c r="AE173" s="472"/>
    </row>
    <row r="174" spans="1:31" s="14431" customFormat="1" ht="11.25" customHeight="1">
      <c r="A174" s="876"/>
      <c r="B174" s="1499"/>
      <c r="C174" s="1499"/>
      <c r="D174" s="267"/>
      <c r="K174" s="1041"/>
      <c r="L174" s="1499"/>
      <c r="M174" s="1499"/>
      <c r="N174" s="1041"/>
      <c r="O174" s="1041"/>
      <c r="P174" s="1041"/>
      <c r="Q174" s="1041"/>
      <c r="R174" s="1499"/>
      <c r="S174" s="1041"/>
      <c r="T174" s="1041"/>
      <c r="U174" s="450"/>
      <c r="V174" s="1041"/>
      <c r="W174" s="1041"/>
      <c r="X174" s="1041"/>
      <c r="Y174" s="1041"/>
      <c r="Z174" s="1041"/>
      <c r="AA174" s="1495"/>
      <c r="AB174" s="472"/>
      <c r="AC174" s="472"/>
      <c r="AD174" s="472"/>
      <c r="AE174" s="472"/>
    </row>
    <row r="175" spans="1:31" s="14431" customFormat="1" ht="11.25" customHeight="1">
      <c r="A175" s="876"/>
      <c r="B175" s="1499"/>
      <c r="C175" s="1499"/>
      <c r="D175" s="267"/>
      <c r="K175" s="1041"/>
      <c r="L175" s="1499"/>
      <c r="M175" s="1499"/>
      <c r="N175" s="1041"/>
      <c r="O175" s="1041"/>
      <c r="P175" s="1041"/>
      <c r="Q175" s="1041"/>
      <c r="R175" s="1499"/>
      <c r="S175" s="1041"/>
      <c r="T175" s="1041"/>
      <c r="U175" s="450"/>
      <c r="V175" s="1041"/>
      <c r="W175" s="1041"/>
      <c r="X175" s="1041"/>
      <c r="Y175" s="1041"/>
      <c r="Z175" s="1041"/>
      <c r="AA175" s="1495"/>
      <c r="AB175" s="472"/>
      <c r="AC175" s="472"/>
      <c r="AD175" s="472"/>
      <c r="AE175" s="472"/>
    </row>
    <row r="176" spans="1:31" s="14431" customFormat="1" ht="11.25" customHeight="1">
      <c r="A176" s="876"/>
      <c r="B176" s="1499"/>
      <c r="C176" s="1499"/>
      <c r="D176" s="267"/>
      <c r="K176" s="1041"/>
      <c r="L176" s="1499"/>
      <c r="M176" s="1499"/>
      <c r="N176" s="1041"/>
      <c r="O176" s="1041"/>
      <c r="P176" s="1041"/>
      <c r="Q176" s="1041"/>
      <c r="R176" s="1499"/>
      <c r="S176" s="1041"/>
      <c r="T176" s="1041"/>
      <c r="U176" s="450"/>
      <c r="V176" s="1041"/>
      <c r="W176" s="1041"/>
      <c r="X176" s="1041"/>
      <c r="Y176" s="1041"/>
      <c r="Z176" s="1041"/>
      <c r="AA176" s="1495"/>
      <c r="AB176" s="472"/>
      <c r="AC176" s="472"/>
      <c r="AD176" s="472"/>
      <c r="AE176" s="472"/>
    </row>
    <row r="177" spans="1:31" s="14431" customFormat="1" ht="11.25" customHeight="1">
      <c r="A177" s="876"/>
      <c r="B177" s="1499"/>
      <c r="C177" s="1499"/>
      <c r="D177" s="267"/>
      <c r="K177" s="1041"/>
      <c r="L177" s="1499"/>
      <c r="M177" s="1499"/>
      <c r="N177" s="1041"/>
      <c r="O177" s="1041"/>
      <c r="P177" s="1041"/>
      <c r="Q177" s="1041"/>
      <c r="R177" s="1499"/>
      <c r="S177" s="1041"/>
      <c r="T177" s="1041"/>
      <c r="U177" s="450"/>
      <c r="V177" s="1041"/>
      <c r="W177" s="1041"/>
      <c r="X177" s="1041"/>
      <c r="Y177" s="1041"/>
      <c r="Z177" s="1041"/>
      <c r="AA177" s="1495"/>
      <c r="AB177" s="472"/>
      <c r="AC177" s="472"/>
      <c r="AD177" s="472"/>
      <c r="AE177" s="472"/>
    </row>
    <row r="178" spans="1:31" s="14431" customFormat="1" ht="11.25" customHeight="1">
      <c r="A178" s="876"/>
      <c r="B178" s="1499"/>
      <c r="C178" s="1499"/>
      <c r="D178" s="267"/>
      <c r="K178" s="1041"/>
      <c r="L178" s="1499"/>
      <c r="M178" s="1499"/>
      <c r="N178" s="1041"/>
      <c r="O178" s="1041"/>
      <c r="P178" s="1041"/>
      <c r="Q178" s="1041"/>
      <c r="R178" s="1499"/>
      <c r="S178" s="1041"/>
      <c r="T178" s="1041"/>
      <c r="U178" s="450"/>
      <c r="V178" s="1041"/>
      <c r="W178" s="1041"/>
      <c r="X178" s="1041"/>
      <c r="Y178" s="1041"/>
      <c r="Z178" s="1041"/>
      <c r="AA178" s="1495"/>
      <c r="AB178" s="472"/>
      <c r="AC178" s="472"/>
      <c r="AD178" s="472"/>
      <c r="AE178" s="472"/>
    </row>
    <row r="179" spans="1:31" s="14431" customFormat="1" ht="11.25" customHeight="1">
      <c r="A179" s="876"/>
      <c r="B179" s="1499"/>
      <c r="C179" s="1499"/>
      <c r="D179" s="267"/>
      <c r="K179" s="1041"/>
      <c r="L179" s="1499"/>
      <c r="M179" s="1499"/>
      <c r="N179" s="1041"/>
      <c r="O179" s="1041"/>
      <c r="P179" s="1041"/>
      <c r="Q179" s="1041"/>
      <c r="R179" s="1499"/>
      <c r="S179" s="1041"/>
      <c r="T179" s="1041"/>
      <c r="U179" s="450"/>
      <c r="V179" s="1041"/>
      <c r="W179" s="1041"/>
      <c r="X179" s="1041"/>
      <c r="Y179" s="1041"/>
      <c r="Z179" s="1041"/>
      <c r="AA179" s="1495"/>
      <c r="AB179" s="472"/>
      <c r="AC179" s="472"/>
      <c r="AD179" s="472"/>
      <c r="AE179" s="472"/>
    </row>
    <row r="180" spans="1:31" s="14431" customFormat="1" ht="11.25" customHeight="1">
      <c r="A180" s="876"/>
      <c r="B180" s="1499"/>
      <c r="C180" s="1499"/>
      <c r="D180" s="267"/>
      <c r="K180" s="1041"/>
      <c r="L180" s="1499"/>
      <c r="M180" s="1499"/>
      <c r="N180" s="1041"/>
      <c r="O180" s="1041"/>
      <c r="P180" s="1041"/>
      <c r="Q180" s="1041"/>
      <c r="R180" s="1499"/>
      <c r="S180" s="1041"/>
      <c r="T180" s="1041"/>
      <c r="U180" s="450"/>
      <c r="V180" s="1041"/>
      <c r="W180" s="1041"/>
      <c r="X180" s="1041"/>
      <c r="Y180" s="1041"/>
      <c r="Z180" s="1041"/>
      <c r="AA180" s="1495"/>
      <c r="AB180" s="472"/>
      <c r="AC180" s="472"/>
      <c r="AD180" s="472"/>
      <c r="AE180" s="472"/>
    </row>
    <row r="181" spans="1:31" s="14431" customFormat="1" ht="11.25" customHeight="1">
      <c r="A181" s="876"/>
      <c r="B181" s="1499"/>
      <c r="C181" s="1499"/>
      <c r="D181" s="267"/>
      <c r="K181" s="1041"/>
      <c r="L181" s="1499"/>
      <c r="M181" s="1499"/>
      <c r="N181" s="1041"/>
      <c r="O181" s="1041"/>
      <c r="P181" s="1041"/>
      <c r="Q181" s="1041"/>
      <c r="R181" s="1499"/>
      <c r="S181" s="1041"/>
      <c r="T181" s="1041"/>
      <c r="U181" s="450"/>
      <c r="V181" s="1041"/>
      <c r="W181" s="1041"/>
      <c r="X181" s="1041"/>
      <c r="Y181" s="1041"/>
      <c r="Z181" s="1041"/>
      <c r="AA181" s="1495"/>
      <c r="AB181" s="472"/>
      <c r="AC181" s="472"/>
      <c r="AD181" s="472"/>
      <c r="AE181" s="472"/>
    </row>
    <row r="182" spans="1:31" s="14431" customFormat="1" ht="11.25" customHeight="1">
      <c r="A182" s="876"/>
      <c r="B182" s="1499"/>
      <c r="C182" s="1499"/>
      <c r="D182" s="267"/>
      <c r="K182" s="1041"/>
      <c r="L182" s="1499"/>
      <c r="M182" s="1499"/>
      <c r="N182" s="1041"/>
      <c r="O182" s="1041"/>
      <c r="P182" s="1041"/>
      <c r="Q182" s="1041"/>
      <c r="R182" s="1499"/>
      <c r="S182" s="1041"/>
      <c r="T182" s="1041"/>
      <c r="U182" s="450"/>
      <c r="V182" s="1041"/>
      <c r="W182" s="1041"/>
      <c r="X182" s="1041"/>
      <c r="Y182" s="1041"/>
      <c r="Z182" s="1041"/>
      <c r="AA182" s="1495"/>
      <c r="AB182" s="472"/>
      <c r="AC182" s="472"/>
      <c r="AD182" s="472"/>
      <c r="AE182" s="472"/>
    </row>
    <row r="183" spans="1:31" s="14431" customFormat="1" ht="11.25" customHeight="1">
      <c r="A183" s="876"/>
      <c r="B183" s="1499"/>
      <c r="C183" s="1499"/>
      <c r="D183" s="267"/>
      <c r="K183" s="1041"/>
      <c r="L183" s="1499"/>
      <c r="M183" s="1499"/>
      <c r="N183" s="1041"/>
      <c r="O183" s="1041"/>
      <c r="P183" s="1041"/>
      <c r="Q183" s="1041"/>
      <c r="R183" s="1499"/>
      <c r="S183" s="1041"/>
      <c r="T183" s="1041"/>
      <c r="U183" s="450"/>
      <c r="V183" s="1041"/>
      <c r="W183" s="1041"/>
      <c r="X183" s="1041"/>
      <c r="Y183" s="1041"/>
      <c r="Z183" s="1041"/>
      <c r="AA183" s="1495"/>
      <c r="AB183" s="472"/>
      <c r="AC183" s="472"/>
      <c r="AD183" s="472"/>
      <c r="AE183" s="472"/>
    </row>
    <row r="184" spans="1:31" s="14431" customFormat="1" ht="11.25" customHeight="1">
      <c r="A184" s="876"/>
      <c r="B184" s="1499"/>
      <c r="C184" s="1499"/>
      <c r="D184" s="267"/>
      <c r="K184" s="1041"/>
      <c r="L184" s="1499"/>
      <c r="M184" s="1499"/>
      <c r="N184" s="1041"/>
      <c r="O184" s="1041"/>
      <c r="P184" s="1041"/>
      <c r="Q184" s="1041"/>
      <c r="R184" s="1499"/>
      <c r="S184" s="1041"/>
      <c r="T184" s="1041"/>
      <c r="U184" s="450"/>
      <c r="V184" s="1041"/>
      <c r="W184" s="1041"/>
      <c r="X184" s="1041"/>
      <c r="Y184" s="1041"/>
      <c r="Z184" s="1041"/>
      <c r="AA184" s="1495"/>
      <c r="AB184" s="472"/>
      <c r="AC184" s="472"/>
      <c r="AD184" s="472"/>
      <c r="AE184" s="472"/>
    </row>
    <row r="185" spans="1:31" s="14431" customFormat="1" ht="11.25" customHeight="1">
      <c r="A185" s="876"/>
      <c r="B185" s="1499"/>
      <c r="C185" s="1499"/>
      <c r="D185" s="267"/>
      <c r="K185" s="1041"/>
      <c r="L185" s="1499"/>
      <c r="M185" s="1499"/>
      <c r="N185" s="1041"/>
      <c r="O185" s="1041"/>
      <c r="P185" s="1041"/>
      <c r="Q185" s="1041"/>
      <c r="R185" s="1499"/>
      <c r="S185" s="1041"/>
      <c r="T185" s="1041"/>
      <c r="U185" s="450"/>
      <c r="V185" s="1041"/>
      <c r="W185" s="1041"/>
      <c r="X185" s="1041"/>
      <c r="Y185" s="1041"/>
      <c r="Z185" s="1041"/>
      <c r="AA185" s="1495"/>
      <c r="AB185" s="472"/>
      <c r="AC185" s="472"/>
      <c r="AD185" s="472"/>
      <c r="AE185" s="472"/>
    </row>
    <row r="186" spans="1:31" s="14431" customFormat="1" ht="11.25" customHeight="1">
      <c r="A186" s="876"/>
      <c r="B186" s="1499"/>
      <c r="C186" s="1499"/>
      <c r="D186" s="267"/>
      <c r="K186" s="1041"/>
      <c r="L186" s="1499"/>
      <c r="M186" s="1499"/>
      <c r="N186" s="1041"/>
      <c r="O186" s="1041"/>
      <c r="P186" s="1041"/>
      <c r="Q186" s="1041"/>
      <c r="R186" s="1499"/>
      <c r="S186" s="1041"/>
      <c r="T186" s="1041"/>
      <c r="U186" s="450"/>
      <c r="V186" s="1041"/>
      <c r="W186" s="1041"/>
      <c r="X186" s="1041"/>
      <c r="Y186" s="1041"/>
      <c r="Z186" s="1041"/>
      <c r="AA186" s="1495"/>
      <c r="AB186" s="472"/>
      <c r="AC186" s="472"/>
      <c r="AD186" s="472"/>
      <c r="AE186" s="472"/>
    </row>
    <row r="187" spans="1:31" s="14431" customFormat="1" ht="11.25" customHeight="1">
      <c r="A187" s="876"/>
      <c r="B187" s="1499"/>
      <c r="C187" s="1499"/>
      <c r="D187" s="267"/>
      <c r="K187" s="1041"/>
      <c r="L187" s="1499"/>
      <c r="M187" s="1499"/>
      <c r="N187" s="1041"/>
      <c r="O187" s="1041"/>
      <c r="P187" s="1041"/>
      <c r="Q187" s="1041"/>
      <c r="R187" s="1499"/>
      <c r="S187" s="1041"/>
      <c r="T187" s="1041"/>
      <c r="U187" s="450"/>
      <c r="V187" s="1041"/>
      <c r="W187" s="1041"/>
      <c r="X187" s="1041"/>
      <c r="Y187" s="1041"/>
      <c r="Z187" s="1041"/>
      <c r="AA187" s="1495"/>
      <c r="AB187" s="472"/>
      <c r="AC187" s="472"/>
      <c r="AD187" s="472"/>
      <c r="AE187" s="472"/>
    </row>
    <row r="188" spans="1:31" s="14431" customFormat="1" ht="11.25" customHeight="1">
      <c r="A188" s="876"/>
      <c r="B188" s="1499"/>
      <c r="C188" s="1499"/>
      <c r="D188" s="267"/>
      <c r="K188" s="1041"/>
      <c r="L188" s="1499"/>
      <c r="M188" s="1499"/>
      <c r="N188" s="1041"/>
      <c r="O188" s="1041"/>
      <c r="P188" s="1041"/>
      <c r="Q188" s="1041"/>
      <c r="R188" s="1499"/>
      <c r="S188" s="1041"/>
      <c r="T188" s="1041"/>
      <c r="U188" s="450"/>
      <c r="V188" s="1041"/>
      <c r="W188" s="1041"/>
      <c r="X188" s="1041"/>
      <c r="Y188" s="1041"/>
      <c r="Z188" s="1041"/>
      <c r="AA188" s="1495"/>
      <c r="AB188" s="472"/>
      <c r="AC188" s="472"/>
      <c r="AD188" s="472"/>
      <c r="AE188" s="472"/>
    </row>
    <row r="189" spans="1:31" s="14431" customFormat="1" ht="11.25" customHeight="1">
      <c r="A189" s="876"/>
      <c r="B189" s="1499"/>
      <c r="C189" s="1499"/>
      <c r="D189" s="267"/>
      <c r="K189" s="1041"/>
      <c r="L189" s="1499"/>
      <c r="M189" s="1499"/>
      <c r="N189" s="1041"/>
      <c r="O189" s="1041"/>
      <c r="P189" s="1041"/>
      <c r="Q189" s="1041"/>
      <c r="R189" s="1499"/>
      <c r="S189" s="1041"/>
      <c r="T189" s="1041"/>
      <c r="U189" s="450"/>
      <c r="V189" s="1041"/>
      <c r="W189" s="1041"/>
      <c r="X189" s="1041"/>
      <c r="Y189" s="1041"/>
      <c r="Z189" s="1041"/>
      <c r="AA189" s="1495"/>
      <c r="AB189" s="472"/>
      <c r="AC189" s="472"/>
      <c r="AD189" s="472"/>
      <c r="AE189" s="472"/>
    </row>
    <row r="190" spans="1:31" s="14431" customFormat="1" ht="11.25" customHeight="1">
      <c r="A190" s="876"/>
      <c r="B190" s="1499"/>
      <c r="C190" s="1499"/>
      <c r="D190" s="267"/>
      <c r="K190" s="1041"/>
      <c r="L190" s="1499"/>
      <c r="M190" s="1499"/>
      <c r="N190" s="1041"/>
      <c r="O190" s="1041"/>
      <c r="P190" s="1041"/>
      <c r="Q190" s="1041"/>
      <c r="R190" s="1499"/>
      <c r="S190" s="1041"/>
      <c r="T190" s="1041"/>
      <c r="U190" s="450"/>
      <c r="V190" s="1041"/>
      <c r="W190" s="1041"/>
      <c r="X190" s="1041"/>
      <c r="Y190" s="1041"/>
      <c r="Z190" s="1041"/>
      <c r="AA190" s="1495"/>
      <c r="AB190" s="472"/>
      <c r="AC190" s="472"/>
      <c r="AD190" s="472"/>
      <c r="AE190" s="472"/>
    </row>
    <row r="191" spans="1:31" s="14431" customFormat="1" ht="11.25" customHeight="1">
      <c r="A191" s="876"/>
      <c r="B191" s="1499"/>
      <c r="C191" s="1499"/>
      <c r="D191" s="267"/>
      <c r="K191" s="1041"/>
      <c r="L191" s="1499"/>
      <c r="M191" s="1499"/>
      <c r="N191" s="1041"/>
      <c r="O191" s="1041"/>
      <c r="P191" s="1041"/>
      <c r="Q191" s="1041"/>
      <c r="R191" s="1499"/>
      <c r="S191" s="1041"/>
      <c r="T191" s="1041"/>
      <c r="U191" s="450"/>
      <c r="V191" s="1041"/>
      <c r="W191" s="1041"/>
      <c r="X191" s="1041"/>
      <c r="Y191" s="1041"/>
      <c r="Z191" s="1041"/>
      <c r="AA191" s="1495"/>
      <c r="AB191" s="472"/>
      <c r="AC191" s="472"/>
      <c r="AD191" s="472"/>
      <c r="AE191" s="472"/>
    </row>
    <row r="192" spans="1:31" s="14431" customFormat="1" ht="11.25" customHeight="1">
      <c r="A192" s="876"/>
      <c r="B192" s="1499"/>
      <c r="C192" s="1499"/>
      <c r="D192" s="267"/>
      <c r="K192" s="1041"/>
      <c r="L192" s="1499"/>
      <c r="M192" s="1499"/>
      <c r="N192" s="1041"/>
      <c r="O192" s="1041"/>
      <c r="P192" s="1041"/>
      <c r="Q192" s="1041"/>
      <c r="R192" s="1499"/>
      <c r="S192" s="1041"/>
      <c r="T192" s="1041"/>
      <c r="U192" s="450"/>
      <c r="V192" s="1041"/>
      <c r="W192" s="1041"/>
      <c r="X192" s="1041"/>
      <c r="Y192" s="1041"/>
      <c r="Z192" s="1041"/>
      <c r="AA192" s="1495"/>
      <c r="AB192" s="472"/>
      <c r="AC192" s="472"/>
      <c r="AD192" s="472"/>
      <c r="AE192" s="472"/>
    </row>
    <row r="193" spans="1:31" s="14431" customFormat="1" ht="11.25" customHeight="1">
      <c r="A193" s="876"/>
      <c r="B193" s="1499"/>
      <c r="C193" s="1499"/>
      <c r="D193" s="267"/>
      <c r="K193" s="1041"/>
      <c r="L193" s="1499"/>
      <c r="M193" s="1499"/>
      <c r="N193" s="1041"/>
      <c r="O193" s="1041"/>
      <c r="P193" s="1041"/>
      <c r="Q193" s="1041"/>
      <c r="R193" s="1499"/>
      <c r="S193" s="1041"/>
      <c r="T193" s="1041"/>
      <c r="U193" s="450"/>
      <c r="V193" s="1041"/>
      <c r="W193" s="1041"/>
      <c r="X193" s="1041"/>
      <c r="Y193" s="1041"/>
      <c r="Z193" s="1041"/>
      <c r="AA193" s="1495"/>
      <c r="AB193" s="472"/>
      <c r="AC193" s="472"/>
      <c r="AD193" s="472"/>
      <c r="AE193" s="472"/>
    </row>
    <row r="194" spans="1:31" s="14431" customFormat="1" ht="11.25" customHeight="1">
      <c r="A194" s="876"/>
      <c r="B194" s="1499"/>
      <c r="C194" s="1499"/>
      <c r="D194" s="267"/>
      <c r="K194" s="1041"/>
      <c r="L194" s="1499"/>
      <c r="M194" s="1499"/>
      <c r="N194" s="1041"/>
      <c r="O194" s="1041"/>
      <c r="P194" s="1041"/>
      <c r="Q194" s="1041"/>
      <c r="R194" s="1499"/>
      <c r="S194" s="1041"/>
      <c r="T194" s="1041"/>
      <c r="U194" s="450"/>
      <c r="V194" s="1041"/>
      <c r="W194" s="1041"/>
      <c r="X194" s="1041"/>
      <c r="Y194" s="1041"/>
      <c r="Z194" s="1041"/>
      <c r="AA194" s="1495"/>
      <c r="AB194" s="472"/>
      <c r="AC194" s="472"/>
      <c r="AD194" s="472"/>
      <c r="AE194" s="472"/>
    </row>
    <row r="195" spans="1:31" s="14431" customFormat="1" ht="11.25" customHeight="1">
      <c r="A195" s="876"/>
      <c r="B195" s="1499"/>
      <c r="C195" s="1499"/>
      <c r="D195" s="267"/>
      <c r="K195" s="1041"/>
      <c r="L195" s="1499"/>
      <c r="M195" s="1499"/>
      <c r="N195" s="1041"/>
      <c r="O195" s="1041"/>
      <c r="P195" s="1041"/>
      <c r="Q195" s="1041"/>
      <c r="R195" s="1499"/>
      <c r="S195" s="1041"/>
      <c r="T195" s="1041"/>
      <c r="U195" s="450"/>
      <c r="V195" s="1041"/>
      <c r="W195" s="1041"/>
      <c r="X195" s="1041"/>
      <c r="Y195" s="1041"/>
      <c r="Z195" s="1041"/>
      <c r="AA195" s="1495"/>
      <c r="AB195" s="472"/>
      <c r="AC195" s="472"/>
      <c r="AD195" s="472"/>
      <c r="AE195" s="472"/>
    </row>
    <row r="196" spans="1:31" s="14431" customFormat="1" ht="11.25" customHeight="1">
      <c r="A196" s="876"/>
      <c r="B196" s="1499"/>
      <c r="C196" s="1499"/>
      <c r="D196" s="267"/>
      <c r="K196" s="1041"/>
      <c r="L196" s="1499"/>
      <c r="M196" s="1499"/>
      <c r="N196" s="1041"/>
      <c r="O196" s="1041"/>
      <c r="P196" s="1041"/>
      <c r="Q196" s="1041"/>
      <c r="R196" s="1499"/>
      <c r="S196" s="1041"/>
      <c r="T196" s="1041"/>
      <c r="U196" s="450"/>
      <c r="V196" s="1041"/>
      <c r="W196" s="1041"/>
      <c r="X196" s="1041"/>
      <c r="Y196" s="1041"/>
      <c r="Z196" s="1041"/>
      <c r="AA196" s="1495"/>
      <c r="AB196" s="472"/>
      <c r="AC196" s="472"/>
      <c r="AD196" s="472"/>
      <c r="AE196" s="472"/>
    </row>
    <row r="197" spans="1:31" s="14431" customFormat="1" ht="11.25" customHeight="1">
      <c r="A197" s="876"/>
      <c r="B197" s="1499"/>
      <c r="C197" s="1499"/>
      <c r="D197" s="267"/>
      <c r="K197" s="1041"/>
      <c r="L197" s="1499"/>
      <c r="M197" s="1499"/>
      <c r="N197" s="1041"/>
      <c r="O197" s="1041"/>
      <c r="P197" s="1041"/>
      <c r="Q197" s="1041"/>
      <c r="R197" s="1499"/>
      <c r="S197" s="1041"/>
      <c r="T197" s="1041"/>
      <c r="U197" s="450"/>
      <c r="V197" s="1041"/>
      <c r="W197" s="1041"/>
      <c r="X197" s="1041"/>
      <c r="Y197" s="1041"/>
      <c r="Z197" s="1041"/>
      <c r="AA197" s="1495"/>
      <c r="AB197" s="472"/>
      <c r="AC197" s="472"/>
      <c r="AD197" s="472"/>
      <c r="AE197" s="472"/>
    </row>
    <row r="198" spans="1:31" s="14431" customFormat="1" ht="11.25" customHeight="1">
      <c r="A198" s="876"/>
      <c r="B198" s="1499"/>
      <c r="C198" s="1499"/>
      <c r="D198" s="267"/>
      <c r="K198" s="1041"/>
      <c r="L198" s="1499"/>
      <c r="M198" s="1499"/>
      <c r="N198" s="1041"/>
      <c r="O198" s="1041"/>
      <c r="P198" s="1041"/>
      <c r="Q198" s="1041"/>
      <c r="R198" s="1499"/>
      <c r="S198" s="1041"/>
      <c r="T198" s="1041"/>
      <c r="U198" s="450"/>
      <c r="V198" s="1041"/>
      <c r="W198" s="1041"/>
      <c r="X198" s="1041"/>
      <c r="Y198" s="1041"/>
      <c r="Z198" s="1041"/>
      <c r="AA198" s="1495"/>
      <c r="AB198" s="472"/>
      <c r="AC198" s="472"/>
      <c r="AD198" s="472"/>
      <c r="AE198" s="472"/>
    </row>
    <row r="199" spans="1:31" s="14431" customFormat="1" ht="11.25" customHeight="1">
      <c r="A199" s="876"/>
      <c r="B199" s="1499"/>
      <c r="C199" s="1499"/>
      <c r="D199" s="267"/>
      <c r="K199" s="1041"/>
      <c r="L199" s="1499"/>
      <c r="M199" s="1499"/>
      <c r="N199" s="1041"/>
      <c r="O199" s="1041"/>
      <c r="P199" s="1041"/>
      <c r="Q199" s="1041"/>
      <c r="R199" s="1499"/>
      <c r="S199" s="1041"/>
      <c r="T199" s="1041"/>
      <c r="U199" s="450"/>
      <c r="V199" s="1041"/>
      <c r="W199" s="1041"/>
      <c r="X199" s="1041"/>
      <c r="Y199" s="1041"/>
      <c r="Z199" s="1041"/>
      <c r="AA199" s="1495"/>
      <c r="AB199" s="472"/>
      <c r="AC199" s="472"/>
      <c r="AD199" s="472"/>
      <c r="AE199" s="472"/>
    </row>
    <row r="200" spans="1:31" s="14431" customFormat="1" ht="11.25" customHeight="1">
      <c r="A200" s="876"/>
      <c r="B200" s="1499"/>
      <c r="C200" s="1499"/>
      <c r="D200" s="267"/>
      <c r="K200" s="1041"/>
      <c r="L200" s="1499"/>
      <c r="M200" s="1499"/>
      <c r="N200" s="1041"/>
      <c r="O200" s="1041"/>
      <c r="P200" s="1041"/>
      <c r="Q200" s="1041"/>
      <c r="R200" s="1499"/>
      <c r="S200" s="1041"/>
      <c r="T200" s="1041"/>
      <c r="U200" s="450"/>
      <c r="V200" s="1041"/>
      <c r="W200" s="1041"/>
      <c r="X200" s="1041"/>
      <c r="Y200" s="1041"/>
      <c r="Z200" s="1041"/>
      <c r="AA200" s="1495"/>
      <c r="AB200" s="472"/>
      <c r="AC200" s="472"/>
      <c r="AD200" s="472"/>
      <c r="AE200" s="472"/>
    </row>
    <row r="201" spans="1:31" s="14431" customFormat="1" ht="11.25" customHeight="1">
      <c r="A201" s="876"/>
      <c r="B201" s="1499"/>
      <c r="C201" s="1499"/>
      <c r="D201" s="267"/>
      <c r="K201" s="1041"/>
      <c r="L201" s="1499"/>
      <c r="M201" s="1499"/>
      <c r="N201" s="1041"/>
      <c r="O201" s="1041"/>
      <c r="P201" s="1041"/>
      <c r="Q201" s="1041"/>
      <c r="R201" s="1499"/>
      <c r="S201" s="1041"/>
      <c r="T201" s="1041"/>
      <c r="U201" s="450"/>
      <c r="V201" s="1041"/>
      <c r="W201" s="1041"/>
      <c r="X201" s="1041"/>
      <c r="Y201" s="1041"/>
      <c r="Z201" s="1041"/>
      <c r="AA201" s="1495"/>
      <c r="AB201" s="472"/>
      <c r="AC201" s="472"/>
      <c r="AD201" s="472"/>
      <c r="AE201" s="472"/>
    </row>
    <row r="202" spans="1:31" s="14431" customFormat="1" ht="11.25" customHeight="1">
      <c r="A202" s="876"/>
      <c r="B202" s="1499"/>
      <c r="C202" s="1499"/>
      <c r="D202" s="267"/>
      <c r="K202" s="1041"/>
      <c r="L202" s="1499"/>
      <c r="M202" s="1499"/>
      <c r="N202" s="1041"/>
      <c r="O202" s="1041"/>
      <c r="P202" s="1041"/>
      <c r="Q202" s="1041"/>
      <c r="R202" s="1499"/>
      <c r="S202" s="1041"/>
      <c r="T202" s="1041"/>
      <c r="U202" s="450"/>
      <c r="V202" s="1041"/>
      <c r="W202" s="1041"/>
      <c r="X202" s="1041"/>
      <c r="Y202" s="1041"/>
      <c r="Z202" s="1041"/>
      <c r="AA202" s="1495"/>
      <c r="AB202" s="472"/>
      <c r="AC202" s="472"/>
      <c r="AD202" s="472"/>
      <c r="AE202" s="472"/>
    </row>
    <row r="203" spans="1:31" s="14431" customFormat="1" ht="11.25" customHeight="1">
      <c r="A203" s="876"/>
      <c r="B203" s="1499"/>
      <c r="C203" s="1499"/>
      <c r="D203" s="267"/>
      <c r="K203" s="1041"/>
      <c r="L203" s="1499"/>
      <c r="M203" s="1499"/>
      <c r="N203" s="1041"/>
      <c r="O203" s="1041"/>
      <c r="P203" s="1041"/>
      <c r="Q203" s="1041"/>
      <c r="R203" s="1499"/>
      <c r="S203" s="1041"/>
      <c r="T203" s="1041"/>
      <c r="U203" s="450"/>
      <c r="V203" s="1041"/>
      <c r="W203" s="1041"/>
      <c r="X203" s="1041"/>
      <c r="Y203" s="1041"/>
      <c r="Z203" s="1041"/>
      <c r="AA203" s="1495"/>
      <c r="AB203" s="472"/>
      <c r="AC203" s="472"/>
      <c r="AD203" s="472"/>
      <c r="AE203" s="472"/>
    </row>
    <row r="204" spans="1:31" s="14431" customFormat="1" ht="11.25" customHeight="1">
      <c r="A204" s="876"/>
      <c r="B204" s="1499"/>
      <c r="C204" s="1499"/>
      <c r="D204" s="267"/>
      <c r="K204" s="1041"/>
      <c r="L204" s="1499"/>
      <c r="M204" s="1499"/>
      <c r="N204" s="1041"/>
      <c r="O204" s="1041"/>
      <c r="P204" s="1041"/>
      <c r="Q204" s="1041"/>
      <c r="R204" s="1499"/>
      <c r="S204" s="1041"/>
      <c r="T204" s="1041"/>
      <c r="U204" s="450"/>
      <c r="V204" s="1041"/>
      <c r="W204" s="1041"/>
      <c r="X204" s="1041"/>
      <c r="Y204" s="1041"/>
      <c r="Z204" s="1041"/>
      <c r="AA204" s="1495"/>
      <c r="AB204" s="472"/>
      <c r="AC204" s="472"/>
      <c r="AD204" s="472"/>
      <c r="AE204" s="472"/>
    </row>
    <row r="208" spans="1:31" ht="11.25" customHeight="1">
      <c r="A208" s="879"/>
      <c r="B208" s="1494"/>
      <c r="D208" s="1494"/>
      <c r="K208" s="1494"/>
      <c r="N208" s="1494"/>
      <c r="O208" s="1494"/>
      <c r="P208" s="1494"/>
      <c r="Q208" s="1494"/>
      <c r="S208" s="1494"/>
      <c r="T208" s="1494"/>
      <c r="U208" s="1494"/>
      <c r="V208" s="1494"/>
      <c r="W208" s="1494"/>
      <c r="X208" s="1494"/>
      <c r="Y208" s="1494"/>
      <c r="Z208" s="1494"/>
      <c r="AA208" s="1494"/>
      <c r="AB208" s="1494"/>
      <c r="AC208" s="1494"/>
      <c r="AD208" s="1494"/>
      <c r="AE208" s="1494"/>
    </row>
    <row r="209" spans="1:31" ht="11.25" customHeight="1">
      <c r="A209" s="879"/>
      <c r="B209" s="1494"/>
      <c r="D209" s="1494"/>
      <c r="K209" s="1494"/>
      <c r="N209" s="1494"/>
      <c r="O209" s="1494"/>
      <c r="P209" s="1494"/>
      <c r="Q209" s="1494"/>
      <c r="S209" s="1494"/>
      <c r="T209" s="1494"/>
      <c r="U209" s="1494"/>
      <c r="V209" s="1494"/>
      <c r="W209" s="1494"/>
      <c r="X209" s="1494"/>
      <c r="Y209" s="1494"/>
      <c r="Z209" s="1494"/>
      <c r="AA209" s="1494"/>
      <c r="AB209" s="1494"/>
      <c r="AC209" s="1494"/>
      <c r="AD209" s="1494"/>
      <c r="AE209" s="1494"/>
    </row>
    <row r="210" spans="1:31" ht="11.25" customHeight="1">
      <c r="A210" s="879"/>
      <c r="B210" s="1494"/>
      <c r="D210" s="1494"/>
      <c r="K210" s="1494"/>
      <c r="N210" s="1494"/>
      <c r="O210" s="1494"/>
      <c r="P210" s="1494"/>
      <c r="Q210" s="1494"/>
      <c r="S210" s="1494"/>
      <c r="T210" s="1494"/>
      <c r="U210" s="1494"/>
      <c r="V210" s="1494"/>
      <c r="W210" s="1494"/>
      <c r="X210" s="1494"/>
      <c r="Y210" s="1494"/>
      <c r="Z210" s="1494"/>
      <c r="AA210" s="1494"/>
      <c r="AB210" s="1494"/>
      <c r="AC210" s="1494"/>
      <c r="AD210" s="1494"/>
      <c r="AE210" s="1494"/>
    </row>
    <row r="211" spans="1:31" ht="11.25" customHeight="1">
      <c r="A211" s="879"/>
      <c r="B211" s="1494"/>
      <c r="D211" s="1494"/>
      <c r="K211" s="1494"/>
      <c r="N211" s="1494"/>
      <c r="O211" s="1494"/>
      <c r="P211" s="1494"/>
      <c r="Q211" s="1494"/>
      <c r="S211" s="1494"/>
      <c r="T211" s="1494"/>
      <c r="U211" s="1494"/>
      <c r="V211" s="1494"/>
      <c r="W211" s="1494"/>
      <c r="X211" s="1494"/>
      <c r="Y211" s="1494"/>
      <c r="Z211" s="1494"/>
      <c r="AA211" s="1494"/>
      <c r="AB211" s="1494"/>
      <c r="AC211" s="1494"/>
      <c r="AD211" s="1494"/>
      <c r="AE211" s="1494"/>
    </row>
    <row r="212" spans="1:31" ht="11.25" customHeight="1">
      <c r="A212" s="879"/>
      <c r="B212" s="1494"/>
      <c r="D212" s="1494"/>
      <c r="K212" s="1494"/>
      <c r="N212" s="1494"/>
      <c r="O212" s="1494"/>
      <c r="P212" s="1494"/>
      <c r="Q212" s="1494"/>
      <c r="S212" s="1494"/>
      <c r="T212" s="1494"/>
      <c r="U212" s="1494"/>
      <c r="V212" s="1494"/>
      <c r="W212" s="1494"/>
      <c r="X212" s="1494"/>
      <c r="Y212" s="1494"/>
      <c r="Z212" s="1494"/>
      <c r="AA212" s="1494"/>
      <c r="AB212" s="1494"/>
      <c r="AC212" s="1494"/>
      <c r="AD212" s="1494"/>
      <c r="AE212" s="1494"/>
    </row>
    <row r="213" spans="1:31" ht="11.25" customHeight="1">
      <c r="A213" s="879"/>
      <c r="B213" s="1494"/>
      <c r="D213" s="1494"/>
      <c r="K213" s="1494"/>
      <c r="N213" s="1494"/>
      <c r="O213" s="1494"/>
      <c r="P213" s="1494"/>
      <c r="Q213" s="1494"/>
      <c r="S213" s="1494"/>
      <c r="T213" s="1494"/>
      <c r="U213" s="1494"/>
      <c r="V213" s="1494"/>
      <c r="W213" s="1494"/>
      <c r="X213" s="1494"/>
      <c r="Y213" s="1494"/>
      <c r="Z213" s="1494"/>
      <c r="AA213" s="1494"/>
      <c r="AB213" s="1494"/>
      <c r="AC213" s="1494"/>
      <c r="AD213" s="1494"/>
      <c r="AE213" s="1494"/>
    </row>
    <row r="214" spans="1:31" ht="11.25" customHeight="1">
      <c r="A214" s="879"/>
      <c r="B214" s="1494"/>
      <c r="D214" s="1494"/>
      <c r="K214" s="1494"/>
      <c r="N214" s="1494"/>
      <c r="O214" s="1494"/>
      <c r="P214" s="1494"/>
      <c r="Q214" s="1494"/>
      <c r="S214" s="1494"/>
      <c r="T214" s="1494"/>
      <c r="U214" s="1494"/>
      <c r="V214" s="1494"/>
      <c r="W214" s="1494"/>
      <c r="X214" s="1494"/>
      <c r="Y214" s="1494"/>
      <c r="Z214" s="1494"/>
      <c r="AA214" s="1494"/>
      <c r="AB214" s="1494"/>
      <c r="AC214" s="1494"/>
      <c r="AD214" s="1494"/>
      <c r="AE214" s="1494"/>
    </row>
    <row r="215" spans="1:31" ht="11.25" customHeight="1">
      <c r="A215" s="879"/>
      <c r="B215" s="1494"/>
      <c r="D215" s="1494"/>
      <c r="K215" s="1494"/>
      <c r="N215" s="1494"/>
      <c r="O215" s="1494"/>
      <c r="P215" s="1494"/>
      <c r="Q215" s="1494"/>
      <c r="S215" s="1494"/>
      <c r="T215" s="1494"/>
      <c r="U215" s="1494"/>
      <c r="V215" s="1494"/>
      <c r="W215" s="1494"/>
      <c r="X215" s="1494"/>
      <c r="Y215" s="1494"/>
      <c r="Z215" s="1494"/>
      <c r="AA215" s="1494"/>
      <c r="AB215" s="1494"/>
      <c r="AC215" s="1494"/>
      <c r="AD215" s="1494"/>
      <c r="AE215" s="1494"/>
    </row>
    <row r="216" spans="1:31" ht="11.25" customHeight="1">
      <c r="A216" s="879"/>
      <c r="B216" s="1494"/>
      <c r="D216" s="1494"/>
      <c r="K216" s="1494"/>
      <c r="N216" s="1494"/>
      <c r="O216" s="1494"/>
      <c r="P216" s="1494"/>
      <c r="Q216" s="1494"/>
      <c r="S216" s="1494"/>
      <c r="T216" s="1494"/>
      <c r="U216" s="1494"/>
      <c r="V216" s="1494"/>
      <c r="W216" s="1494"/>
      <c r="X216" s="1494"/>
      <c r="Y216" s="1494"/>
      <c r="Z216" s="1494"/>
      <c r="AA216" s="1494"/>
      <c r="AB216" s="1494"/>
      <c r="AC216" s="1494"/>
      <c r="AD216" s="1494"/>
      <c r="AE216" s="1494"/>
    </row>
    <row r="217" spans="1:31" ht="11.25" customHeight="1">
      <c r="A217" s="879"/>
      <c r="B217" s="1494"/>
      <c r="D217" s="1494"/>
      <c r="K217" s="1494"/>
      <c r="N217" s="1494"/>
      <c r="O217" s="1494"/>
      <c r="P217" s="1494"/>
      <c r="Q217" s="1494"/>
      <c r="S217" s="1494"/>
      <c r="T217" s="1494"/>
      <c r="U217" s="1494"/>
      <c r="V217" s="1494"/>
      <c r="W217" s="1494"/>
      <c r="X217" s="1494"/>
      <c r="Y217" s="1494"/>
      <c r="Z217" s="1494"/>
      <c r="AA217" s="1494"/>
      <c r="AB217" s="1494"/>
      <c r="AC217" s="1494"/>
      <c r="AD217" s="1494"/>
      <c r="AE217" s="1494"/>
    </row>
    <row r="218" spans="1:31" ht="11.25" customHeight="1">
      <c r="A218" s="879"/>
      <c r="B218" s="1494"/>
      <c r="D218" s="1494"/>
      <c r="K218" s="1494"/>
      <c r="N218" s="1494"/>
      <c r="O218" s="1494"/>
      <c r="P218" s="1494"/>
      <c r="Q218" s="1494"/>
      <c r="S218" s="1494"/>
      <c r="T218" s="1494"/>
      <c r="U218" s="1494"/>
      <c r="V218" s="1494"/>
      <c r="W218" s="1494"/>
      <c r="X218" s="1494"/>
      <c r="Y218" s="1494"/>
      <c r="Z218" s="1494"/>
      <c r="AA218" s="1494"/>
      <c r="AB218" s="1494"/>
      <c r="AC218" s="1494"/>
      <c r="AD218" s="1494"/>
      <c r="AE218" s="149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5860" hidden="1" customWidth="1"/>
    <col min="2" max="2" width="16.85546875" style="14419" hidden="1" customWidth="1"/>
    <col min="3" max="3" width="5.5703125" style="14432" hidden="1" customWidth="1"/>
    <col min="4" max="4" width="3.7109375" style="15861" customWidth="1"/>
    <col min="5" max="5" width="7.7109375" style="14433" customWidth="1"/>
    <col min="6" max="6" width="54.5703125" style="14433" customWidth="1"/>
    <col min="7" max="7" width="10.42578125" style="14433" customWidth="1"/>
    <col min="8" max="8" width="40.7109375" style="14433" hidden="1" customWidth="1"/>
    <col min="9" max="9" width="40.7109375" style="14433" customWidth="1"/>
    <col min="10" max="10" width="102.85546875" style="14433" customWidth="1"/>
    <col min="11" max="11" width="9.7109375" style="14419" customWidth="1"/>
    <col min="12" max="12" width="5.28515625" style="14432" customWidth="1"/>
    <col min="13" max="13" width="3.7109375" style="14432" customWidth="1"/>
    <col min="14" max="17" width="3.7109375" style="14419" customWidth="1"/>
    <col min="18" max="18" width="10.5703125" style="14432" customWidth="1"/>
    <col min="19" max="19" width="34.7109375" style="14419" customWidth="1"/>
    <col min="20" max="20" width="9.42578125" style="14419" customWidth="1"/>
    <col min="21" max="21" width="9.140625" style="15862"/>
    <col min="22" max="26" width="9.140625" style="14419"/>
    <col min="27" max="31" width="9.140625" style="15856"/>
  </cols>
  <sheetData>
    <row r="1" spans="1:31" s="14419" customFormat="1" ht="11.25" hidden="1" customHeight="1">
      <c r="A1" s="876"/>
      <c r="C1" s="1499"/>
      <c r="D1" s="443"/>
      <c r="H1" s="1041">
        <v>4</v>
      </c>
      <c r="I1" s="1041">
        <v>4</v>
      </c>
      <c r="L1" s="1499"/>
      <c r="M1" s="1499"/>
      <c r="R1" s="1499"/>
    </row>
    <row r="2" spans="1:31" s="14419" customFormat="1" ht="22.5" hidden="1" customHeight="1">
      <c r="A2" s="876"/>
      <c r="C2" s="1499"/>
      <c r="D2" s="444"/>
      <c r="E2" s="1521"/>
      <c r="F2" s="446"/>
      <c r="G2" s="1520" t="s">
        <v>690</v>
      </c>
      <c r="H2" s="447"/>
      <c r="I2" s="447"/>
      <c r="J2" s="448" t="s">
        <v>693</v>
      </c>
      <c r="K2" s="449"/>
      <c r="L2" s="1499"/>
      <c r="M2" s="1499"/>
      <c r="R2" s="1499"/>
      <c r="U2" s="450"/>
      <c r="AA2" s="1495"/>
      <c r="AB2" s="1495"/>
      <c r="AC2" s="1495"/>
      <c r="AD2" s="1495"/>
      <c r="AE2" s="1495"/>
    </row>
    <row r="3" spans="1:31" ht="11.25" hidden="1" customHeight="1"/>
    <row r="4" spans="1:31" s="15856" customFormat="1" ht="11.25" hidden="1" customHeight="1">
      <c r="A4" s="876"/>
      <c r="B4" s="1041"/>
      <c r="C4" s="1499"/>
      <c r="D4" s="278"/>
      <c r="J4" s="1495">
        <v>4</v>
      </c>
      <c r="K4" s="1041"/>
      <c r="L4" s="1499"/>
      <c r="M4" s="1499"/>
      <c r="N4" s="1041"/>
      <c r="O4" s="1041"/>
      <c r="P4" s="1041"/>
      <c r="Q4" s="1041"/>
      <c r="R4" s="1499"/>
      <c r="S4" s="1041"/>
      <c r="T4" s="1041"/>
      <c r="U4" s="450"/>
      <c r="V4" s="1041"/>
      <c r="W4" s="1041"/>
      <c r="X4" s="1041"/>
      <c r="Y4" s="1041"/>
      <c r="Z4" s="1041"/>
    </row>
    <row r="6" spans="1:31" ht="32.25" customHeight="1">
      <c r="E6" s="16108" t="s">
        <v>827</v>
      </c>
      <c r="F6" s="16108"/>
      <c r="G6" s="16108"/>
      <c r="H6" s="16108"/>
      <c r="I6" s="16108"/>
      <c r="J6" s="462"/>
    </row>
    <row r="7" spans="1:31" ht="24" customHeight="1">
      <c r="E7" s="16056" t="str">
        <f>IF(org=0,"Не определено",org)</f>
        <v>АО "Мурманэнергосбыт"</v>
      </c>
      <c r="F7" s="16056"/>
      <c r="G7" s="16056"/>
      <c r="H7" s="16056"/>
      <c r="I7" s="16056"/>
    </row>
    <row r="8" spans="1:31" ht="11.25" customHeight="1">
      <c r="E8" s="1018"/>
      <c r="F8" s="1018"/>
      <c r="G8" s="1018"/>
      <c r="H8" s="1018"/>
      <c r="I8" s="1018"/>
    </row>
    <row r="9" spans="1:31" s="14432" customFormat="1" ht="0.75" customHeight="1">
      <c r="A9" s="1048"/>
      <c r="D9" s="1505"/>
      <c r="H9" s="783"/>
      <c r="I9" s="783" t="s">
        <v>152</v>
      </c>
    </row>
    <row r="10" spans="1:31" ht="11.25" customHeight="1">
      <c r="E10" s="611"/>
      <c r="F10" s="16203" t="s">
        <v>143</v>
      </c>
      <c r="G10" s="16204"/>
      <c r="H10" s="1522" t="str">
        <f>IF(H9="","",INDEX(DIFFERENTIATION_UNMERGE_VD,MATCH(H9,DIFFERENTIATION_ID_DIFF,0)))</f>
        <v/>
      </c>
      <c r="I10" s="1522">
        <f>IF(I9="","",INDEX(DIFFERENTIATION_UNMERGE_VD,MATCH(I9,DIFFERENTIATION_ID_DIFF,0)))</f>
        <v>0</v>
      </c>
      <c r="J10" s="15992"/>
    </row>
    <row r="11" spans="1:31" ht="11.25" customHeight="1">
      <c r="E11" s="611"/>
      <c r="F11" s="16203" t="s">
        <v>702</v>
      </c>
      <c r="G11" s="16204"/>
      <c r="H11" s="1522" t="str">
        <f>IF(H9="","",INDEX(DIFFERENTIATION_UNMERGE_AREA,MATCH(H9,DIFFERENTIATION_ID_DIFF,0)))</f>
        <v/>
      </c>
      <c r="I11" s="1522" t="str">
        <f>IF(I9="","",INDEX(DIFFERENTIATION_UNMERGE_AREA,MATCH(I9,DIFFERENTIATION_ID_DIFF,0)))</f>
        <v/>
      </c>
      <c r="J11" s="15992"/>
    </row>
    <row r="12" spans="1:31" ht="11.25" hidden="1" customHeight="1">
      <c r="E12" s="1525"/>
      <c r="F12" s="16219" t="s">
        <v>703</v>
      </c>
      <c r="G12" s="16220"/>
      <c r="H12" s="1526" t="str">
        <f>IF(H9="","",INDEX(DIFFERENTIATION_UNMERGE_SYSTEM,MATCH(H9,DIFFERENTIATION_ID_DIFF,0)))</f>
        <v/>
      </c>
      <c r="I12" s="1526" t="str">
        <f>IF(I9="","",INDEX(DIFFERENTIATION_UNMERGE_SYSTEM,MATCH(I9,DIFFERENTIATION_ID_DIFF,0)))</f>
        <v>без дифференциации</v>
      </c>
      <c r="J12" s="15992"/>
    </row>
    <row r="13" spans="1:31" ht="11.25" customHeight="1">
      <c r="E13" s="16205" t="s">
        <v>437</v>
      </c>
      <c r="F13" s="16206"/>
      <c r="G13" s="16206"/>
      <c r="H13" s="1519"/>
      <c r="I13" s="1519"/>
      <c r="J13" s="15992"/>
    </row>
    <row r="14" spans="1:31" ht="22.5" customHeight="1">
      <c r="E14" s="1520" t="s">
        <v>87</v>
      </c>
      <c r="F14" s="1523" t="s">
        <v>439</v>
      </c>
      <c r="G14" s="1523" t="s">
        <v>704</v>
      </c>
      <c r="H14" s="1523" t="s">
        <v>440</v>
      </c>
      <c r="I14" s="1523" t="s">
        <v>440</v>
      </c>
      <c r="J14" s="15992"/>
    </row>
    <row r="15" spans="1:31" ht="18.75" customHeight="1">
      <c r="D15" s="1501"/>
      <c r="E15" s="1493" t="s">
        <v>147</v>
      </c>
      <c r="F15" s="607" t="s">
        <v>828</v>
      </c>
      <c r="G15" s="1520" t="s">
        <v>690</v>
      </c>
      <c r="H15" s="463"/>
      <c r="I15" s="463"/>
      <c r="J15" s="206" t="s">
        <v>829</v>
      </c>
      <c r="K15" s="449" t="s">
        <v>757</v>
      </c>
    </row>
    <row r="16" spans="1:31" ht="22.5" customHeight="1">
      <c r="D16" s="1501"/>
      <c r="E16" s="1493" t="s">
        <v>102</v>
      </c>
      <c r="F16" s="1528" t="s">
        <v>830</v>
      </c>
      <c r="G16" s="1520" t="s">
        <v>690</v>
      </c>
      <c r="H16" s="464">
        <f>SUM(H17,H20:H27)</f>
        <v>0</v>
      </c>
      <c r="I16" s="464">
        <f>SUM(I17,I20:I27)</f>
        <v>0</v>
      </c>
      <c r="J16" s="206" t="s">
        <v>831</v>
      </c>
      <c r="K16" s="449" t="s">
        <v>757</v>
      </c>
    </row>
    <row r="17" spans="1:31" ht="33.75" customHeight="1">
      <c r="D17" s="1501"/>
      <c r="E17" s="1527" t="s">
        <v>760</v>
      </c>
      <c r="F17" s="1530" t="s">
        <v>832</v>
      </c>
      <c r="G17" s="1517" t="s">
        <v>690</v>
      </c>
      <c r="H17" s="463"/>
      <c r="I17" s="463"/>
      <c r="J17" s="206" t="s">
        <v>833</v>
      </c>
      <c r="K17" s="449"/>
    </row>
    <row r="18" spans="1:31" ht="18.75" customHeight="1">
      <c r="D18" s="1501"/>
      <c r="E18" s="1527" t="s">
        <v>763</v>
      </c>
      <c r="F18" s="1531" t="s">
        <v>834</v>
      </c>
      <c r="G18" s="1517" t="s">
        <v>690</v>
      </c>
      <c r="H18" s="463"/>
      <c r="I18" s="463"/>
      <c r="J18" s="206"/>
      <c r="K18" s="449"/>
    </row>
    <row r="19" spans="1:31" ht="22.5" customHeight="1">
      <c r="D19" s="1501"/>
      <c r="E19" s="1527" t="s">
        <v>766</v>
      </c>
      <c r="F19" s="1531" t="s">
        <v>835</v>
      </c>
      <c r="G19" s="1517" t="s">
        <v>690</v>
      </c>
      <c r="H19" s="463"/>
      <c r="I19" s="463"/>
      <c r="J19" s="206"/>
      <c r="K19" s="449"/>
    </row>
    <row r="20" spans="1:31" ht="33.75" customHeight="1">
      <c r="D20" s="1501"/>
      <c r="E20" s="1527" t="s">
        <v>444</v>
      </c>
      <c r="F20" s="1530" t="s">
        <v>836</v>
      </c>
      <c r="G20" s="1517" t="s">
        <v>690</v>
      </c>
      <c r="H20" s="463"/>
      <c r="I20" s="463"/>
      <c r="J20" s="206"/>
      <c r="K20" s="449"/>
    </row>
    <row r="21" spans="1:31" ht="33.75" customHeight="1">
      <c r="D21" s="1501"/>
      <c r="E21" s="1527" t="s">
        <v>447</v>
      </c>
      <c r="F21" s="1530" t="s">
        <v>837</v>
      </c>
      <c r="G21" s="1517" t="s">
        <v>690</v>
      </c>
      <c r="H21" s="463"/>
      <c r="I21" s="463"/>
      <c r="J21" s="206"/>
      <c r="K21" s="449"/>
    </row>
    <row r="22" spans="1:31" ht="56.25" customHeight="1">
      <c r="D22" s="1501"/>
      <c r="E22" s="1527" t="s">
        <v>780</v>
      </c>
      <c r="F22" s="1530" t="s">
        <v>838</v>
      </c>
      <c r="G22" s="1517" t="s">
        <v>690</v>
      </c>
      <c r="H22" s="463"/>
      <c r="I22" s="463"/>
      <c r="J22" s="206"/>
      <c r="K22" s="449"/>
    </row>
    <row r="23" spans="1:31" ht="33.75" customHeight="1">
      <c r="D23" s="1501"/>
      <c r="E23" s="1527" t="s">
        <v>787</v>
      </c>
      <c r="F23" s="1530" t="s">
        <v>839</v>
      </c>
      <c r="G23" s="1517" t="s">
        <v>690</v>
      </c>
      <c r="H23" s="463"/>
      <c r="I23" s="463"/>
      <c r="J23" s="206"/>
      <c r="K23" s="449"/>
    </row>
    <row r="24" spans="1:31" ht="33.75" customHeight="1">
      <c r="D24" s="1501"/>
      <c r="E24" s="1527" t="s">
        <v>789</v>
      </c>
      <c r="F24" s="1530" t="s">
        <v>840</v>
      </c>
      <c r="G24" s="1517" t="s">
        <v>690</v>
      </c>
      <c r="H24" s="463"/>
      <c r="I24" s="463"/>
      <c r="J24" s="206"/>
      <c r="K24" s="449"/>
    </row>
    <row r="25" spans="1:31" ht="22.5" customHeight="1">
      <c r="D25" s="1501"/>
      <c r="E25" s="1527" t="s">
        <v>791</v>
      </c>
      <c r="F25" s="1530" t="s">
        <v>841</v>
      </c>
      <c r="G25" s="1517" t="s">
        <v>690</v>
      </c>
      <c r="H25" s="463"/>
      <c r="I25" s="463"/>
      <c r="J25" s="206"/>
      <c r="K25" s="449"/>
    </row>
    <row r="26" spans="1:31" ht="67.5" customHeight="1">
      <c r="D26" s="1501"/>
      <c r="E26" s="1527" t="s">
        <v>793</v>
      </c>
      <c r="F26" s="1530" t="s">
        <v>842</v>
      </c>
      <c r="G26" s="1517" t="s">
        <v>690</v>
      </c>
      <c r="H26" s="463"/>
      <c r="I26" s="463"/>
      <c r="J26" s="206"/>
      <c r="K26" s="449"/>
    </row>
    <row r="27" spans="1:31" s="14419" customFormat="1" ht="22.5" customHeight="1">
      <c r="A27" s="876"/>
      <c r="C27" s="1499"/>
      <c r="D27" s="1501"/>
      <c r="E27" s="1492" t="s">
        <v>797</v>
      </c>
      <c r="F27" s="1491" t="s">
        <v>843</v>
      </c>
      <c r="G27" s="1518" t="s">
        <v>690</v>
      </c>
      <c r="H27" s="485">
        <f>SUM(H28:H29)</f>
        <v>0</v>
      </c>
      <c r="I27" s="485">
        <f>SUM(I28:I29)</f>
        <v>0</v>
      </c>
      <c r="J27" s="206" t="s">
        <v>795</v>
      </c>
      <c r="K27" s="449"/>
      <c r="L27" s="1499"/>
      <c r="M27" s="1499"/>
      <c r="R27" s="1499"/>
      <c r="U27" s="450"/>
      <c r="AA27" s="1495"/>
      <c r="AB27" s="1495"/>
      <c r="AC27" s="1495"/>
      <c r="AD27" s="1495"/>
      <c r="AE27" s="1495"/>
    </row>
    <row r="28" spans="1:31" s="14432" customFormat="1" ht="0.75" customHeight="1">
      <c r="A28" s="1048"/>
      <c r="D28" s="454"/>
      <c r="E28" s="700" t="str">
        <f>E27&amp;".0"</f>
        <v>2.9.0</v>
      </c>
      <c r="F28" s="880"/>
      <c r="G28" s="457"/>
      <c r="H28" s="881"/>
      <c r="I28" s="881"/>
      <c r="J28" s="882"/>
    </row>
    <row r="29" spans="1:31" s="14419" customFormat="1" ht="18.75" customHeight="1">
      <c r="A29" s="876"/>
      <c r="C29" s="1499"/>
      <c r="D29" s="1496"/>
      <c r="E29" s="476"/>
      <c r="F29" s="1529" t="s">
        <v>715</v>
      </c>
      <c r="G29" s="478"/>
      <c r="H29" s="479"/>
      <c r="I29" s="479"/>
      <c r="J29" s="218" t="s">
        <v>796</v>
      </c>
      <c r="K29" s="449"/>
      <c r="L29" s="1499"/>
      <c r="M29" s="1499"/>
      <c r="R29" s="1499"/>
      <c r="U29" s="450"/>
      <c r="AA29" s="1495"/>
      <c r="AB29" s="1495"/>
      <c r="AC29" s="1495"/>
      <c r="AD29" s="1495"/>
      <c r="AE29" s="1495"/>
    </row>
    <row r="30" spans="1:31" s="14419" customFormat="1" ht="22.5" customHeight="1">
      <c r="A30" s="876"/>
      <c r="C30" s="1499"/>
      <c r="D30" s="1501"/>
      <c r="E30" s="1527" t="s">
        <v>89</v>
      </c>
      <c r="F30" s="1524" t="s">
        <v>844</v>
      </c>
      <c r="G30" s="1517" t="s">
        <v>690</v>
      </c>
      <c r="H30" s="463"/>
      <c r="I30" s="463"/>
      <c r="J30" s="206"/>
      <c r="K30" s="449"/>
      <c r="L30" s="1499"/>
      <c r="M30" s="1499"/>
      <c r="R30" s="1499"/>
      <c r="U30" s="450"/>
      <c r="AA30" s="1495"/>
      <c r="AB30" s="1495"/>
      <c r="AC30" s="1495"/>
      <c r="AD30" s="1495"/>
      <c r="AE30" s="1495"/>
    </row>
    <row r="31" spans="1:31" s="14419" customFormat="1" ht="33.75" customHeight="1">
      <c r="A31" s="876"/>
      <c r="C31" s="1499"/>
      <c r="D31" s="481"/>
      <c r="E31" s="1527" t="s">
        <v>90</v>
      </c>
      <c r="F31" s="1524" t="s">
        <v>845</v>
      </c>
      <c r="G31" s="1517" t="s">
        <v>690</v>
      </c>
      <c r="H31" s="463"/>
      <c r="I31" s="463"/>
      <c r="J31" s="206" t="s">
        <v>846</v>
      </c>
      <c r="K31" s="449"/>
      <c r="L31" s="1499"/>
      <c r="M31" s="1499"/>
      <c r="R31" s="1499"/>
      <c r="U31" s="450"/>
      <c r="AA31" s="1495"/>
      <c r="AB31" s="1495"/>
      <c r="AC31" s="1495"/>
      <c r="AD31" s="1495"/>
      <c r="AE31" s="1495"/>
    </row>
    <row r="32" spans="1:31" s="14419" customFormat="1" ht="22.5" customHeight="1">
      <c r="A32" s="876"/>
      <c r="C32" s="1499"/>
      <c r="D32" s="1501"/>
      <c r="E32" s="1527" t="s">
        <v>805</v>
      </c>
      <c r="F32" s="591" t="s">
        <v>809</v>
      </c>
      <c r="G32" s="1517" t="s">
        <v>690</v>
      </c>
      <c r="H32" s="463"/>
      <c r="I32" s="463"/>
      <c r="J32" s="206" t="s">
        <v>847</v>
      </c>
      <c r="K32" s="449"/>
      <c r="L32" s="1499"/>
      <c r="M32" s="1499"/>
      <c r="R32" s="1499"/>
      <c r="U32" s="450"/>
      <c r="AA32" s="1495"/>
      <c r="AB32" s="1495"/>
      <c r="AC32" s="1495"/>
      <c r="AD32" s="1495"/>
      <c r="AE32" s="1495"/>
    </row>
    <row r="33" spans="1:31" s="14419" customFormat="1" ht="22.5" customHeight="1">
      <c r="A33" s="876"/>
      <c r="C33" s="1499"/>
      <c r="D33" s="1501"/>
      <c r="E33" s="1527" t="s">
        <v>848</v>
      </c>
      <c r="F33" s="591" t="s">
        <v>849</v>
      </c>
      <c r="G33" s="1517" t="s">
        <v>690</v>
      </c>
      <c r="H33" s="463"/>
      <c r="I33" s="463"/>
      <c r="J33" s="206" t="s">
        <v>850</v>
      </c>
      <c r="K33" s="449"/>
      <c r="L33" s="1499"/>
      <c r="M33" s="1499"/>
      <c r="R33" s="1499"/>
      <c r="U33" s="450"/>
      <c r="AA33" s="1495"/>
      <c r="AB33" s="1495"/>
      <c r="AC33" s="1495"/>
      <c r="AD33" s="1495"/>
      <c r="AE33" s="1495"/>
    </row>
    <row r="34" spans="1:31" s="14419" customFormat="1" ht="22.5" customHeight="1">
      <c r="A34" s="876"/>
      <c r="C34" s="1499"/>
      <c r="D34" s="1501"/>
      <c r="E34" s="1527" t="s">
        <v>851</v>
      </c>
      <c r="F34" s="591" t="s">
        <v>815</v>
      </c>
      <c r="G34" s="1517" t="s">
        <v>690</v>
      </c>
      <c r="H34" s="463"/>
      <c r="I34" s="463"/>
      <c r="J34" s="206" t="s">
        <v>852</v>
      </c>
      <c r="K34" s="449"/>
      <c r="L34" s="1499"/>
      <c r="M34" s="1499"/>
      <c r="R34" s="1499"/>
      <c r="U34" s="450"/>
      <c r="AA34" s="1495"/>
      <c r="AB34" s="1495"/>
      <c r="AC34" s="1495"/>
      <c r="AD34" s="1495"/>
      <c r="AE34" s="1495"/>
    </row>
    <row r="35" spans="1:31" s="14419" customFormat="1" ht="33.75" customHeight="1">
      <c r="A35" s="876"/>
      <c r="C35" s="1499" t="s">
        <v>726</v>
      </c>
      <c r="D35" s="1501"/>
      <c r="E35" s="1527" t="s">
        <v>117</v>
      </c>
      <c r="F35" s="1524" t="s">
        <v>817</v>
      </c>
      <c r="G35" s="1520" t="s">
        <v>443</v>
      </c>
      <c r="H35" s="316"/>
      <c r="I35" s="316"/>
      <c r="J35" s="206" t="s">
        <v>853</v>
      </c>
      <c r="K35" s="449"/>
      <c r="L35" s="1499"/>
      <c r="M35" s="1499"/>
      <c r="R35" s="1499"/>
      <c r="U35" s="450"/>
      <c r="AA35" s="1495"/>
      <c r="AB35" s="1495"/>
      <c r="AC35" s="1495"/>
      <c r="AD35" s="1495"/>
      <c r="AE35" s="1495"/>
    </row>
    <row r="36" spans="1:31" s="14419" customFormat="1" ht="22.5" customHeight="1">
      <c r="A36" s="876"/>
      <c r="C36" s="1499"/>
      <c r="D36" s="1501"/>
      <c r="E36" s="1527" t="s">
        <v>91</v>
      </c>
      <c r="F36" s="1524" t="s">
        <v>854</v>
      </c>
      <c r="G36" s="1517" t="s">
        <v>821</v>
      </c>
      <c r="H36" s="451"/>
      <c r="I36" s="451"/>
      <c r="J36" s="206" t="s">
        <v>822</v>
      </c>
      <c r="K36" s="449"/>
      <c r="L36" s="1499"/>
      <c r="M36" s="1499"/>
      <c r="R36" s="1499"/>
      <c r="U36" s="450"/>
      <c r="AA36" s="1495"/>
      <c r="AB36" s="1495"/>
      <c r="AC36" s="1495"/>
      <c r="AD36" s="1495"/>
      <c r="AE36" s="1495"/>
    </row>
    <row r="37" spans="1:31" s="14419" customFormat="1" ht="22.5" customHeight="1">
      <c r="A37" s="876"/>
      <c r="C37" s="1499"/>
      <c r="D37" s="1501"/>
      <c r="E37" s="1527" t="s">
        <v>92</v>
      </c>
      <c r="F37" s="1524" t="s">
        <v>855</v>
      </c>
      <c r="G37" s="1517" t="s">
        <v>824</v>
      </c>
      <c r="H37" s="451"/>
      <c r="I37" s="451"/>
      <c r="J37" s="206" t="s">
        <v>825</v>
      </c>
      <c r="K37" s="449"/>
      <c r="L37" s="1499"/>
      <c r="M37" s="1499"/>
      <c r="R37" s="1499"/>
      <c r="U37" s="450"/>
      <c r="AA37" s="1495"/>
      <c r="AB37" s="1495"/>
      <c r="AC37" s="1495"/>
      <c r="AD37" s="1495"/>
      <c r="AE37" s="1495"/>
    </row>
    <row r="38" spans="1:31" ht="11.25" customHeight="1">
      <c r="D38" s="1501"/>
    </row>
    <row r="39" spans="1:31" ht="26.25" customHeight="1">
      <c r="D39" s="1501"/>
      <c r="E39" s="1135" t="s">
        <v>856</v>
      </c>
      <c r="F39" s="16144" t="s">
        <v>857</v>
      </c>
      <c r="G39" s="16144"/>
      <c r="H39" s="16144"/>
      <c r="I39" s="16144"/>
      <c r="J39" s="16144"/>
    </row>
    <row r="40" spans="1:31" s="14431" customFormat="1" ht="37.5" customHeight="1">
      <c r="A40" s="876"/>
      <c r="B40" s="1499"/>
      <c r="C40" s="1499"/>
      <c r="D40" s="267"/>
      <c r="F40" s="16144" t="s">
        <v>858</v>
      </c>
      <c r="G40" s="16144"/>
      <c r="H40" s="16144"/>
      <c r="I40" s="16144"/>
      <c r="J40" s="16144"/>
      <c r="K40" s="1041"/>
      <c r="L40" s="1499"/>
      <c r="M40" s="1499"/>
      <c r="N40" s="1041"/>
      <c r="O40" s="1041"/>
      <c r="P40" s="1041"/>
      <c r="Q40" s="1041"/>
      <c r="R40" s="1499"/>
      <c r="S40" s="1041"/>
      <c r="T40" s="1041"/>
      <c r="U40" s="450"/>
      <c r="V40" s="1041"/>
      <c r="W40" s="1041"/>
      <c r="X40" s="1041"/>
      <c r="Y40" s="1041"/>
      <c r="Z40" s="1041"/>
      <c r="AA40" s="1495"/>
      <c r="AB40" s="472"/>
      <c r="AC40" s="472"/>
      <c r="AD40" s="472"/>
      <c r="AE40" s="472"/>
    </row>
    <row r="41" spans="1:31" s="14431" customFormat="1" ht="11.25" customHeight="1">
      <c r="A41" s="876"/>
      <c r="B41" s="1499"/>
      <c r="C41" s="1499"/>
      <c r="D41" s="267"/>
      <c r="K41" s="1041"/>
      <c r="L41" s="1499"/>
      <c r="M41" s="1499"/>
      <c r="N41" s="1041"/>
      <c r="O41" s="1041"/>
      <c r="P41" s="1041"/>
      <c r="Q41" s="1041"/>
      <c r="R41" s="1499"/>
      <c r="S41" s="1041"/>
      <c r="T41" s="1041"/>
      <c r="U41" s="450"/>
      <c r="V41" s="1041"/>
      <c r="W41" s="1041"/>
      <c r="X41" s="1041"/>
      <c r="Y41" s="1041"/>
      <c r="Z41" s="1041"/>
      <c r="AA41" s="1495"/>
      <c r="AB41" s="472"/>
      <c r="AC41" s="472"/>
      <c r="AD41" s="472"/>
      <c r="AE41" s="472"/>
    </row>
    <row r="42" spans="1:31" s="14431" customFormat="1" ht="11.25" customHeight="1">
      <c r="A42" s="876"/>
      <c r="B42" s="1499"/>
      <c r="C42" s="1499"/>
      <c r="D42" s="267"/>
      <c r="K42" s="1041"/>
      <c r="L42" s="1499"/>
      <c r="M42" s="1499"/>
      <c r="N42" s="1041"/>
      <c r="O42" s="1041"/>
      <c r="P42" s="1041"/>
      <c r="Q42" s="1041"/>
      <c r="R42" s="1499"/>
      <c r="S42" s="1041"/>
      <c r="T42" s="1041"/>
      <c r="U42" s="450"/>
      <c r="V42" s="1041"/>
      <c r="W42" s="1041"/>
      <c r="X42" s="1041"/>
      <c r="Y42" s="1041"/>
      <c r="Z42" s="1041"/>
      <c r="AA42" s="1495"/>
      <c r="AB42" s="472"/>
      <c r="AC42" s="472"/>
      <c r="AD42" s="472"/>
      <c r="AE42" s="472"/>
    </row>
    <row r="43" spans="1:31" s="14431" customFormat="1" ht="11.25" customHeight="1">
      <c r="A43" s="876"/>
      <c r="B43" s="1499"/>
      <c r="C43" s="1499"/>
      <c r="D43" s="267"/>
      <c r="H43" s="472"/>
      <c r="I43" s="472"/>
      <c r="K43" s="1041"/>
      <c r="L43" s="1499"/>
      <c r="M43" s="1499"/>
      <c r="N43" s="1041"/>
      <c r="O43" s="1041"/>
      <c r="P43" s="1041"/>
      <c r="Q43" s="1041"/>
      <c r="R43" s="1499"/>
      <c r="S43" s="1041"/>
      <c r="T43" s="1041"/>
      <c r="U43" s="450"/>
      <c r="V43" s="1041"/>
      <c r="W43" s="1041"/>
      <c r="X43" s="1041"/>
      <c r="Y43" s="1041"/>
      <c r="Z43" s="1041"/>
      <c r="AA43" s="1495"/>
      <c r="AB43" s="472"/>
      <c r="AC43" s="472"/>
      <c r="AD43" s="472"/>
      <c r="AE43" s="472"/>
    </row>
    <row r="44" spans="1:31" s="14431" customFormat="1" ht="11.25" customHeight="1">
      <c r="A44" s="876"/>
      <c r="B44" s="1499"/>
      <c r="C44" s="1499"/>
      <c r="D44" s="267"/>
      <c r="K44" s="1041"/>
      <c r="L44" s="1499"/>
      <c r="M44" s="1499"/>
      <c r="N44" s="1041"/>
      <c r="O44" s="1041"/>
      <c r="P44" s="1041"/>
      <c r="Q44" s="1041"/>
      <c r="R44" s="1499"/>
      <c r="S44" s="1041"/>
      <c r="T44" s="1041"/>
      <c r="U44" s="450"/>
      <c r="V44" s="1041"/>
      <c r="W44" s="1041"/>
      <c r="X44" s="1041"/>
      <c r="Y44" s="1041"/>
      <c r="Z44" s="1041"/>
      <c r="AA44" s="1495"/>
      <c r="AB44" s="472"/>
      <c r="AC44" s="472"/>
      <c r="AD44" s="472"/>
      <c r="AE44" s="472"/>
    </row>
    <row r="45" spans="1:31" s="14431" customFormat="1" ht="11.25" customHeight="1">
      <c r="A45" s="876"/>
      <c r="B45" s="1499"/>
      <c r="C45" s="1499"/>
      <c r="D45" s="267"/>
      <c r="K45" s="1041"/>
      <c r="L45" s="1499"/>
      <c r="M45" s="1499"/>
      <c r="N45" s="1041"/>
      <c r="O45" s="1041"/>
      <c r="P45" s="1041"/>
      <c r="Q45" s="1041"/>
      <c r="R45" s="1499"/>
      <c r="S45" s="1041"/>
      <c r="T45" s="1041"/>
      <c r="U45" s="450"/>
      <c r="V45" s="1041"/>
      <c r="W45" s="1041"/>
      <c r="X45" s="1041"/>
      <c r="Y45" s="1041"/>
      <c r="Z45" s="1041"/>
      <c r="AA45" s="1495"/>
      <c r="AB45" s="472"/>
      <c r="AC45" s="472"/>
      <c r="AD45" s="472"/>
      <c r="AE45" s="472"/>
    </row>
    <row r="46" spans="1:31" s="14431" customFormat="1" ht="11.25" customHeight="1">
      <c r="A46" s="876"/>
      <c r="B46" s="1499"/>
      <c r="C46" s="1499"/>
      <c r="D46" s="267"/>
      <c r="K46" s="1041"/>
      <c r="L46" s="1499"/>
      <c r="M46" s="1499"/>
      <c r="N46" s="1041"/>
      <c r="O46" s="1041"/>
      <c r="P46" s="1041"/>
      <c r="Q46" s="1041"/>
      <c r="R46" s="1499"/>
      <c r="S46" s="1041"/>
      <c r="T46" s="1041"/>
      <c r="U46" s="450"/>
      <c r="V46" s="1041"/>
      <c r="W46" s="1041"/>
      <c r="X46" s="1041"/>
      <c r="Y46" s="1041"/>
      <c r="Z46" s="1041"/>
      <c r="AA46" s="1495"/>
      <c r="AB46" s="472"/>
      <c r="AC46" s="472"/>
      <c r="AD46" s="472"/>
      <c r="AE46" s="472"/>
    </row>
    <row r="47" spans="1:31" s="14431" customFormat="1" ht="11.25" customHeight="1">
      <c r="A47" s="876"/>
      <c r="B47" s="1499"/>
      <c r="C47" s="1499"/>
      <c r="D47" s="267"/>
      <c r="K47" s="1041"/>
      <c r="L47" s="1499"/>
      <c r="M47" s="1499"/>
      <c r="N47" s="1041"/>
      <c r="O47" s="1041"/>
      <c r="P47" s="1041"/>
      <c r="Q47" s="1041"/>
      <c r="R47" s="1499"/>
      <c r="S47" s="1041"/>
      <c r="T47" s="1041"/>
      <c r="U47" s="450"/>
      <c r="V47" s="1041"/>
      <c r="W47" s="1041"/>
      <c r="X47" s="1041"/>
      <c r="Y47" s="1041"/>
      <c r="Z47" s="1041"/>
      <c r="AA47" s="1495"/>
      <c r="AB47" s="472"/>
      <c r="AC47" s="472"/>
      <c r="AD47" s="472"/>
      <c r="AE47" s="472"/>
    </row>
    <row r="48" spans="1:31" s="14431" customFormat="1" ht="11.25" customHeight="1">
      <c r="A48" s="876"/>
      <c r="B48" s="1499"/>
      <c r="C48" s="1499"/>
      <c r="D48" s="267"/>
      <c r="K48" s="1041"/>
      <c r="L48" s="1499"/>
      <c r="M48" s="1499"/>
      <c r="N48" s="1041"/>
      <c r="O48" s="1041"/>
      <c r="P48" s="1041"/>
      <c r="Q48" s="1041"/>
      <c r="R48" s="1499"/>
      <c r="S48" s="1041"/>
      <c r="T48" s="1041"/>
      <c r="U48" s="450"/>
      <c r="V48" s="1041"/>
      <c r="W48" s="1041"/>
      <c r="X48" s="1041"/>
      <c r="Y48" s="1041"/>
      <c r="Z48" s="1041"/>
      <c r="AA48" s="1495"/>
      <c r="AB48" s="472"/>
      <c r="AC48" s="472"/>
      <c r="AD48" s="472"/>
      <c r="AE48" s="472"/>
    </row>
    <row r="49" spans="1:31" s="14431" customFormat="1" ht="11.25" customHeight="1">
      <c r="A49" s="876"/>
      <c r="B49" s="1499"/>
      <c r="C49" s="1499"/>
      <c r="D49" s="267"/>
      <c r="K49" s="1041"/>
      <c r="L49" s="1499"/>
      <c r="M49" s="1499"/>
      <c r="N49" s="1041"/>
      <c r="O49" s="1041"/>
      <c r="P49" s="1041"/>
      <c r="Q49" s="1041"/>
      <c r="R49" s="1499"/>
      <c r="S49" s="1041"/>
      <c r="T49" s="1041"/>
      <c r="U49" s="450"/>
      <c r="V49" s="1041"/>
      <c r="W49" s="1041"/>
      <c r="X49" s="1041"/>
      <c r="Y49" s="1041"/>
      <c r="Z49" s="1041"/>
      <c r="AA49" s="1495"/>
      <c r="AB49" s="472"/>
      <c r="AC49" s="472"/>
      <c r="AD49" s="472"/>
      <c r="AE49" s="472"/>
    </row>
    <row r="50" spans="1:31" s="14431" customFormat="1" ht="11.25" customHeight="1">
      <c r="A50" s="876"/>
      <c r="B50" s="1499"/>
      <c r="C50" s="1499"/>
      <c r="D50" s="267"/>
      <c r="K50" s="1041"/>
      <c r="L50" s="1499"/>
      <c r="M50" s="1499"/>
      <c r="N50" s="1041"/>
      <c r="O50" s="1041"/>
      <c r="P50" s="1041"/>
      <c r="Q50" s="1041"/>
      <c r="R50" s="1499"/>
      <c r="S50" s="1041"/>
      <c r="T50" s="1041"/>
      <c r="U50" s="450"/>
      <c r="V50" s="1041"/>
      <c r="W50" s="1041"/>
      <c r="X50" s="1041"/>
      <c r="Y50" s="1041"/>
      <c r="Z50" s="1041"/>
      <c r="AA50" s="1495"/>
      <c r="AB50" s="472"/>
      <c r="AC50" s="472"/>
      <c r="AD50" s="472"/>
      <c r="AE50" s="472"/>
    </row>
    <row r="51" spans="1:31" s="14431" customFormat="1" ht="11.25" customHeight="1">
      <c r="A51" s="876"/>
      <c r="B51" s="1499"/>
      <c r="C51" s="1499"/>
      <c r="D51" s="267"/>
      <c r="K51" s="1041"/>
      <c r="L51" s="1499"/>
      <c r="M51" s="1499"/>
      <c r="N51" s="1041"/>
      <c r="O51" s="1041"/>
      <c r="P51" s="1041"/>
      <c r="Q51" s="1041"/>
      <c r="R51" s="1499"/>
      <c r="S51" s="1041"/>
      <c r="T51" s="1041"/>
      <c r="U51" s="450"/>
      <c r="V51" s="1041"/>
      <c r="W51" s="1041"/>
      <c r="X51" s="1041"/>
      <c r="Y51" s="1041"/>
      <c r="Z51" s="1041"/>
      <c r="AA51" s="1495"/>
      <c r="AB51" s="472"/>
      <c r="AC51" s="472"/>
      <c r="AD51" s="472"/>
      <c r="AE51" s="472"/>
    </row>
    <row r="52" spans="1:31" s="14431" customFormat="1" ht="11.25" customHeight="1">
      <c r="A52" s="876"/>
      <c r="B52" s="1499"/>
      <c r="C52" s="1499"/>
      <c r="D52" s="267"/>
      <c r="K52" s="1041"/>
      <c r="L52" s="1499"/>
      <c r="M52" s="1499"/>
      <c r="N52" s="1041"/>
      <c r="O52" s="1041"/>
      <c r="P52" s="1041"/>
      <c r="Q52" s="1041"/>
      <c r="R52" s="1499"/>
      <c r="S52" s="1041"/>
      <c r="T52" s="1041"/>
      <c r="U52" s="450"/>
      <c r="V52" s="1041"/>
      <c r="W52" s="1041"/>
      <c r="X52" s="1041"/>
      <c r="Y52" s="1041"/>
      <c r="Z52" s="1041"/>
      <c r="AA52" s="1495"/>
      <c r="AB52" s="472"/>
      <c r="AC52" s="472"/>
      <c r="AD52" s="472"/>
      <c r="AE52" s="472"/>
    </row>
    <row r="53" spans="1:31" s="14431" customFormat="1" ht="11.25" customHeight="1">
      <c r="A53" s="876"/>
      <c r="B53" s="1499"/>
      <c r="C53" s="1499"/>
      <c r="D53" s="267"/>
      <c r="K53" s="1041"/>
      <c r="L53" s="1499"/>
      <c r="M53" s="1499"/>
      <c r="N53" s="1041"/>
      <c r="O53" s="1041"/>
      <c r="P53" s="1041"/>
      <c r="Q53" s="1041"/>
      <c r="R53" s="1499"/>
      <c r="S53" s="1041"/>
      <c r="T53" s="1041"/>
      <c r="U53" s="450"/>
      <c r="V53" s="1041"/>
      <c r="W53" s="1041"/>
      <c r="X53" s="1041"/>
      <c r="Y53" s="1041"/>
      <c r="Z53" s="1041"/>
      <c r="AA53" s="1495"/>
      <c r="AB53" s="472"/>
      <c r="AC53" s="472"/>
      <c r="AD53" s="472"/>
      <c r="AE53" s="472"/>
    </row>
    <row r="54" spans="1:31" s="14431" customFormat="1" ht="11.25" customHeight="1">
      <c r="A54" s="876"/>
      <c r="B54" s="1499"/>
      <c r="C54" s="1499"/>
      <c r="D54" s="267"/>
      <c r="K54" s="1041"/>
      <c r="L54" s="1499"/>
      <c r="M54" s="1499"/>
      <c r="N54" s="1041"/>
      <c r="O54" s="1041"/>
      <c r="P54" s="1041"/>
      <c r="Q54" s="1041"/>
      <c r="R54" s="1499"/>
      <c r="S54" s="1041"/>
      <c r="T54" s="1041"/>
      <c r="U54" s="450"/>
      <c r="V54" s="1041"/>
      <c r="W54" s="1041"/>
      <c r="X54" s="1041"/>
      <c r="Y54" s="1041"/>
      <c r="Z54" s="1041"/>
      <c r="AA54" s="1495"/>
      <c r="AB54" s="472"/>
      <c r="AC54" s="472"/>
      <c r="AD54" s="472"/>
      <c r="AE54" s="472"/>
    </row>
    <row r="55" spans="1:31" s="14431" customFormat="1" ht="11.25" customHeight="1">
      <c r="A55" s="876"/>
      <c r="B55" s="1499"/>
      <c r="C55" s="1499"/>
      <c r="D55" s="267"/>
      <c r="K55" s="1041"/>
      <c r="L55" s="1499"/>
      <c r="M55" s="1499"/>
      <c r="N55" s="1041"/>
      <c r="O55" s="1041"/>
      <c r="P55" s="1041"/>
      <c r="Q55" s="1041"/>
      <c r="R55" s="1499"/>
      <c r="S55" s="1041"/>
      <c r="T55" s="1041"/>
      <c r="U55" s="450"/>
      <c r="V55" s="1041"/>
      <c r="W55" s="1041"/>
      <c r="X55" s="1041"/>
      <c r="Y55" s="1041"/>
      <c r="Z55" s="1041"/>
      <c r="AA55" s="1495"/>
      <c r="AB55" s="472"/>
      <c r="AC55" s="472"/>
      <c r="AD55" s="472"/>
      <c r="AE55" s="472"/>
    </row>
    <row r="56" spans="1:31" s="14431" customFormat="1" ht="11.25" customHeight="1">
      <c r="A56" s="876"/>
      <c r="B56" s="1499"/>
      <c r="C56" s="1499"/>
      <c r="D56" s="267"/>
      <c r="K56" s="1041"/>
      <c r="L56" s="1499"/>
      <c r="M56" s="1499"/>
      <c r="N56" s="1041"/>
      <c r="O56" s="1041"/>
      <c r="P56" s="1041"/>
      <c r="Q56" s="1041"/>
      <c r="R56" s="1499"/>
      <c r="S56" s="1041"/>
      <c r="T56" s="1041"/>
      <c r="U56" s="450"/>
      <c r="V56" s="1041"/>
      <c r="W56" s="1041"/>
      <c r="X56" s="1041"/>
      <c r="Y56" s="1041"/>
      <c r="Z56" s="1041"/>
      <c r="AA56" s="1495"/>
      <c r="AB56" s="472"/>
      <c r="AC56" s="472"/>
      <c r="AD56" s="472"/>
      <c r="AE56" s="472"/>
    </row>
    <row r="57" spans="1:31" s="14431" customFormat="1" ht="11.25" customHeight="1">
      <c r="A57" s="876"/>
      <c r="B57" s="1499"/>
      <c r="C57" s="1499"/>
      <c r="D57" s="267"/>
      <c r="K57" s="1041"/>
      <c r="L57" s="1499"/>
      <c r="M57" s="1499"/>
      <c r="N57" s="1041"/>
      <c r="O57" s="1041"/>
      <c r="P57" s="1041"/>
      <c r="Q57" s="1041"/>
      <c r="R57" s="1499"/>
      <c r="S57" s="1041"/>
      <c r="T57" s="1041"/>
      <c r="U57" s="450"/>
      <c r="V57" s="1041"/>
      <c r="W57" s="1041"/>
      <c r="X57" s="1041"/>
      <c r="Y57" s="1041"/>
      <c r="Z57" s="1041"/>
      <c r="AA57" s="1495"/>
      <c r="AB57" s="472"/>
      <c r="AC57" s="472"/>
      <c r="AD57" s="472"/>
      <c r="AE57" s="472"/>
    </row>
    <row r="58" spans="1:31" s="14431" customFormat="1" ht="11.25" customHeight="1">
      <c r="A58" s="876"/>
      <c r="B58" s="1499"/>
      <c r="C58" s="1499"/>
      <c r="D58" s="267"/>
      <c r="K58" s="1041"/>
      <c r="L58" s="1499"/>
      <c r="M58" s="1499"/>
      <c r="N58" s="1041"/>
      <c r="O58" s="1041"/>
      <c r="P58" s="1041"/>
      <c r="Q58" s="1041"/>
      <c r="R58" s="1499"/>
      <c r="S58" s="1041"/>
      <c r="T58" s="1041"/>
      <c r="U58" s="450"/>
      <c r="V58" s="1041"/>
      <c r="W58" s="1041"/>
      <c r="X58" s="1041"/>
      <c r="Y58" s="1041"/>
      <c r="Z58" s="1041"/>
      <c r="AA58" s="1495"/>
      <c r="AB58" s="472"/>
      <c r="AC58" s="472"/>
      <c r="AD58" s="472"/>
      <c r="AE58" s="472"/>
    </row>
    <row r="59" spans="1:31" s="14431" customFormat="1" ht="11.25" customHeight="1">
      <c r="A59" s="876"/>
      <c r="B59" s="1499"/>
      <c r="C59" s="1499"/>
      <c r="D59" s="267"/>
      <c r="K59" s="1041"/>
      <c r="L59" s="1499"/>
      <c r="M59" s="1499"/>
      <c r="N59" s="1041"/>
      <c r="O59" s="1041"/>
      <c r="P59" s="1041"/>
      <c r="Q59" s="1041"/>
      <c r="R59" s="1499"/>
      <c r="S59" s="1041"/>
      <c r="T59" s="1041"/>
      <c r="U59" s="450"/>
      <c r="V59" s="1041"/>
      <c r="W59" s="1041"/>
      <c r="X59" s="1041"/>
      <c r="Y59" s="1041"/>
      <c r="Z59" s="1041"/>
      <c r="AA59" s="1495"/>
      <c r="AB59" s="472"/>
      <c r="AC59" s="472"/>
      <c r="AD59" s="472"/>
      <c r="AE59" s="472"/>
    </row>
    <row r="60" spans="1:31" s="14431" customFormat="1" ht="11.25" customHeight="1">
      <c r="A60" s="876"/>
      <c r="B60" s="1499"/>
      <c r="C60" s="1499"/>
      <c r="D60" s="267"/>
      <c r="K60" s="1041"/>
      <c r="L60" s="1499"/>
      <c r="M60" s="1499"/>
      <c r="N60" s="1041"/>
      <c r="O60" s="1041"/>
      <c r="P60" s="1041"/>
      <c r="Q60" s="1041"/>
      <c r="R60" s="1499"/>
      <c r="S60" s="1041"/>
      <c r="T60" s="1041"/>
      <c r="U60" s="450"/>
      <c r="V60" s="1041"/>
      <c r="W60" s="1041"/>
      <c r="X60" s="1041"/>
      <c r="Y60" s="1041"/>
      <c r="Z60" s="1041"/>
      <c r="AA60" s="1495"/>
      <c r="AB60" s="472"/>
      <c r="AC60" s="472"/>
      <c r="AD60" s="472"/>
      <c r="AE60" s="472"/>
    </row>
    <row r="61" spans="1:31" s="14431" customFormat="1" ht="11.25" customHeight="1">
      <c r="A61" s="876"/>
      <c r="B61" s="1499"/>
      <c r="C61" s="1499"/>
      <c r="D61" s="267"/>
      <c r="K61" s="1041"/>
      <c r="L61" s="1499"/>
      <c r="M61" s="1499"/>
      <c r="N61" s="1041"/>
      <c r="O61" s="1041"/>
      <c r="P61" s="1041"/>
      <c r="Q61" s="1041"/>
      <c r="R61" s="1499"/>
      <c r="S61" s="1041"/>
      <c r="T61" s="1041"/>
      <c r="U61" s="450"/>
      <c r="V61" s="1041"/>
      <c r="W61" s="1041"/>
      <c r="X61" s="1041"/>
      <c r="Y61" s="1041"/>
      <c r="Z61" s="1041"/>
      <c r="AA61" s="1495"/>
      <c r="AB61" s="472"/>
      <c r="AC61" s="472"/>
      <c r="AD61" s="472"/>
      <c r="AE61" s="472"/>
    </row>
    <row r="62" spans="1:31" s="14431" customFormat="1" ht="11.25" customHeight="1">
      <c r="A62" s="876"/>
      <c r="B62" s="1499"/>
      <c r="C62" s="1499"/>
      <c r="D62" s="267"/>
      <c r="K62" s="1041"/>
      <c r="L62" s="1499"/>
      <c r="M62" s="1499"/>
      <c r="N62" s="1041"/>
      <c r="O62" s="1041"/>
      <c r="P62" s="1041"/>
      <c r="Q62" s="1041"/>
      <c r="R62" s="1499"/>
      <c r="S62" s="1041"/>
      <c r="T62" s="1041"/>
      <c r="U62" s="450"/>
      <c r="V62" s="1041"/>
      <c r="W62" s="1041"/>
      <c r="X62" s="1041"/>
      <c r="Y62" s="1041"/>
      <c r="Z62" s="1041"/>
      <c r="AA62" s="1495"/>
      <c r="AB62" s="472"/>
      <c r="AC62" s="472"/>
      <c r="AD62" s="472"/>
      <c r="AE62" s="472"/>
    </row>
    <row r="63" spans="1:31" s="14431" customFormat="1" ht="11.25" customHeight="1">
      <c r="A63" s="876"/>
      <c r="B63" s="1499"/>
      <c r="C63" s="1499"/>
      <c r="D63" s="267"/>
      <c r="K63" s="1041"/>
      <c r="L63" s="1499"/>
      <c r="M63" s="1499"/>
      <c r="N63" s="1041"/>
      <c r="O63" s="1041"/>
      <c r="P63" s="1041"/>
      <c r="Q63" s="1041"/>
      <c r="R63" s="1499"/>
      <c r="S63" s="1041"/>
      <c r="T63" s="1041"/>
      <c r="U63" s="450"/>
      <c r="V63" s="1041"/>
      <c r="W63" s="1041"/>
      <c r="X63" s="1041"/>
      <c r="Y63" s="1041"/>
      <c r="Z63" s="1041"/>
      <c r="AA63" s="1495"/>
      <c r="AB63" s="472"/>
      <c r="AC63" s="472"/>
      <c r="AD63" s="472"/>
      <c r="AE63" s="472"/>
    </row>
    <row r="64" spans="1:31" s="14431" customFormat="1" ht="11.25" customHeight="1">
      <c r="A64" s="876"/>
      <c r="B64" s="1499"/>
      <c r="C64" s="1499"/>
      <c r="D64" s="267"/>
      <c r="K64" s="1041"/>
      <c r="L64" s="1499"/>
      <c r="M64" s="1499"/>
      <c r="N64" s="1041"/>
      <c r="O64" s="1041"/>
      <c r="P64" s="1041"/>
      <c r="Q64" s="1041"/>
      <c r="R64" s="1499"/>
      <c r="S64" s="1041"/>
      <c r="T64" s="1041"/>
      <c r="U64" s="450"/>
      <c r="V64" s="1041"/>
      <c r="W64" s="1041"/>
      <c r="X64" s="1041"/>
      <c r="Y64" s="1041"/>
      <c r="Z64" s="1041"/>
      <c r="AA64" s="1495"/>
      <c r="AB64" s="472"/>
      <c r="AC64" s="472"/>
      <c r="AD64" s="472"/>
      <c r="AE64" s="472"/>
    </row>
    <row r="65" spans="1:31" s="14431" customFormat="1" ht="11.25" customHeight="1">
      <c r="A65" s="876"/>
      <c r="B65" s="1499"/>
      <c r="C65" s="1499"/>
      <c r="D65" s="267"/>
      <c r="K65" s="1041"/>
      <c r="L65" s="1499"/>
      <c r="M65" s="1499"/>
      <c r="N65" s="1041"/>
      <c r="O65" s="1041"/>
      <c r="P65" s="1041"/>
      <c r="Q65" s="1041"/>
      <c r="R65" s="1499"/>
      <c r="S65" s="1041"/>
      <c r="T65" s="1041"/>
      <c r="U65" s="450"/>
      <c r="V65" s="1041"/>
      <c r="W65" s="1041"/>
      <c r="X65" s="1041"/>
      <c r="Y65" s="1041"/>
      <c r="Z65" s="1041"/>
      <c r="AA65" s="1495"/>
      <c r="AB65" s="472"/>
      <c r="AC65" s="472"/>
      <c r="AD65" s="472"/>
      <c r="AE65" s="472"/>
    </row>
    <row r="66" spans="1:31" s="14431" customFormat="1" ht="11.25" customHeight="1">
      <c r="A66" s="876"/>
      <c r="B66" s="1499"/>
      <c r="C66" s="1499"/>
      <c r="D66" s="267"/>
      <c r="K66" s="1041"/>
      <c r="L66" s="1499"/>
      <c r="M66" s="1499"/>
      <c r="N66" s="1041"/>
      <c r="O66" s="1041"/>
      <c r="P66" s="1041"/>
      <c r="Q66" s="1041"/>
      <c r="R66" s="1499"/>
      <c r="S66" s="1041"/>
      <c r="T66" s="1041"/>
      <c r="U66" s="450"/>
      <c r="V66" s="1041"/>
      <c r="W66" s="1041"/>
      <c r="X66" s="1041"/>
      <c r="Y66" s="1041"/>
      <c r="Z66" s="1041"/>
      <c r="AA66" s="1495"/>
      <c r="AB66" s="472"/>
      <c r="AC66" s="472"/>
      <c r="AD66" s="472"/>
      <c r="AE66" s="472"/>
    </row>
    <row r="67" spans="1:31" s="14431" customFormat="1" ht="11.25" customHeight="1">
      <c r="A67" s="876"/>
      <c r="B67" s="1499"/>
      <c r="C67" s="1499"/>
      <c r="D67" s="267"/>
      <c r="K67" s="1041"/>
      <c r="L67" s="1499"/>
      <c r="M67" s="1499"/>
      <c r="N67" s="1041"/>
      <c r="O67" s="1041"/>
      <c r="P67" s="1041"/>
      <c r="Q67" s="1041"/>
      <c r="R67" s="1499"/>
      <c r="S67" s="1041"/>
      <c r="T67" s="1041"/>
      <c r="U67" s="450"/>
      <c r="V67" s="1041"/>
      <c r="W67" s="1041"/>
      <c r="X67" s="1041"/>
      <c r="Y67" s="1041"/>
      <c r="Z67" s="1041"/>
      <c r="AA67" s="1495"/>
      <c r="AB67" s="472"/>
      <c r="AC67" s="472"/>
      <c r="AD67" s="472"/>
      <c r="AE67" s="472"/>
    </row>
    <row r="68" spans="1:31" s="14431" customFormat="1" ht="11.25" customHeight="1">
      <c r="A68" s="876"/>
      <c r="B68" s="1499"/>
      <c r="C68" s="1499"/>
      <c r="D68" s="267"/>
      <c r="K68" s="1041"/>
      <c r="L68" s="1499"/>
      <c r="M68" s="1499"/>
      <c r="N68" s="1041"/>
      <c r="O68" s="1041"/>
      <c r="P68" s="1041"/>
      <c r="Q68" s="1041"/>
      <c r="R68" s="1499"/>
      <c r="S68" s="1041"/>
      <c r="T68" s="1041"/>
      <c r="U68" s="450"/>
      <c r="V68" s="1041"/>
      <c r="W68" s="1041"/>
      <c r="X68" s="1041"/>
      <c r="Y68" s="1041"/>
      <c r="Z68" s="1041"/>
      <c r="AA68" s="1495"/>
      <c r="AB68" s="472"/>
      <c r="AC68" s="472"/>
      <c r="AD68" s="472"/>
      <c r="AE68" s="472"/>
    </row>
    <row r="69" spans="1:31" s="14431" customFormat="1" ht="11.25" customHeight="1">
      <c r="A69" s="876"/>
      <c r="B69" s="1499"/>
      <c r="C69" s="1499"/>
      <c r="D69" s="267"/>
      <c r="K69" s="1041"/>
      <c r="L69" s="1499"/>
      <c r="M69" s="1499"/>
      <c r="N69" s="1041"/>
      <c r="O69" s="1041"/>
      <c r="P69" s="1041"/>
      <c r="Q69" s="1041"/>
      <c r="R69" s="1499"/>
      <c r="S69" s="1041"/>
      <c r="T69" s="1041"/>
      <c r="U69" s="450"/>
      <c r="V69" s="1041"/>
      <c r="W69" s="1041"/>
      <c r="X69" s="1041"/>
      <c r="Y69" s="1041"/>
      <c r="Z69" s="1041"/>
      <c r="AA69" s="1495"/>
      <c r="AB69" s="472"/>
      <c r="AC69" s="472"/>
      <c r="AD69" s="472"/>
      <c r="AE69" s="472"/>
    </row>
    <row r="70" spans="1:31" s="14431" customFormat="1" ht="11.25" customHeight="1">
      <c r="A70" s="876"/>
      <c r="B70" s="1499"/>
      <c r="C70" s="1499"/>
      <c r="D70" s="267"/>
      <c r="K70" s="1041"/>
      <c r="L70" s="1499"/>
      <c r="M70" s="1499"/>
      <c r="N70" s="1041"/>
      <c r="O70" s="1041"/>
      <c r="P70" s="1041"/>
      <c r="Q70" s="1041"/>
      <c r="R70" s="1499"/>
      <c r="S70" s="1041"/>
      <c r="T70" s="1041"/>
      <c r="U70" s="450"/>
      <c r="V70" s="1041"/>
      <c r="W70" s="1041"/>
      <c r="X70" s="1041"/>
      <c r="Y70" s="1041"/>
      <c r="Z70" s="1041"/>
      <c r="AA70" s="1495"/>
      <c r="AB70" s="472"/>
      <c r="AC70" s="472"/>
      <c r="AD70" s="472"/>
      <c r="AE70" s="472"/>
    </row>
    <row r="71" spans="1:31" s="14431" customFormat="1" ht="11.25" customHeight="1">
      <c r="A71" s="876"/>
      <c r="B71" s="1499"/>
      <c r="C71" s="1499"/>
      <c r="D71" s="267"/>
      <c r="K71" s="1041"/>
      <c r="L71" s="1499"/>
      <c r="M71" s="1499"/>
      <c r="N71" s="1041"/>
      <c r="O71" s="1041"/>
      <c r="P71" s="1041"/>
      <c r="Q71" s="1041"/>
      <c r="R71" s="1499"/>
      <c r="S71" s="1041"/>
      <c r="T71" s="1041"/>
      <c r="U71" s="450"/>
      <c r="V71" s="1041"/>
      <c r="W71" s="1041"/>
      <c r="X71" s="1041"/>
      <c r="Y71" s="1041"/>
      <c r="Z71" s="1041"/>
      <c r="AA71" s="1495"/>
      <c r="AB71" s="472"/>
      <c r="AC71" s="472"/>
      <c r="AD71" s="472"/>
      <c r="AE71" s="472"/>
    </row>
    <row r="72" spans="1:31" s="14431" customFormat="1" ht="11.25" customHeight="1">
      <c r="A72" s="876"/>
      <c r="B72" s="1499"/>
      <c r="C72" s="1499"/>
      <c r="D72" s="267"/>
      <c r="K72" s="1041"/>
      <c r="L72" s="1499"/>
      <c r="M72" s="1499"/>
      <c r="N72" s="1041"/>
      <c r="O72" s="1041"/>
      <c r="P72" s="1041"/>
      <c r="Q72" s="1041"/>
      <c r="R72" s="1499"/>
      <c r="S72" s="1041"/>
      <c r="T72" s="1041"/>
      <c r="U72" s="450"/>
      <c r="V72" s="1041"/>
      <c r="W72" s="1041"/>
      <c r="X72" s="1041"/>
      <c r="Y72" s="1041"/>
      <c r="Z72" s="1041"/>
      <c r="AA72" s="1495"/>
      <c r="AB72" s="472"/>
      <c r="AC72" s="472"/>
      <c r="AD72" s="472"/>
      <c r="AE72" s="472"/>
    </row>
    <row r="73" spans="1:31" s="14431" customFormat="1" ht="11.25" customHeight="1">
      <c r="A73" s="876"/>
      <c r="B73" s="1499"/>
      <c r="C73" s="1499"/>
      <c r="D73" s="267"/>
      <c r="K73" s="1041"/>
      <c r="L73" s="1499"/>
      <c r="M73" s="1499"/>
      <c r="N73" s="1041"/>
      <c r="O73" s="1041"/>
      <c r="P73" s="1041"/>
      <c r="Q73" s="1041"/>
      <c r="R73" s="1499"/>
      <c r="S73" s="1041"/>
      <c r="T73" s="1041"/>
      <c r="U73" s="450"/>
      <c r="V73" s="1041"/>
      <c r="W73" s="1041"/>
      <c r="X73" s="1041"/>
      <c r="Y73" s="1041"/>
      <c r="Z73" s="1041"/>
      <c r="AA73" s="1495"/>
      <c r="AB73" s="472"/>
      <c r="AC73" s="472"/>
      <c r="AD73" s="472"/>
      <c r="AE73" s="472"/>
    </row>
    <row r="74" spans="1:31" s="14431" customFormat="1" ht="11.25" customHeight="1">
      <c r="A74" s="876"/>
      <c r="B74" s="1499"/>
      <c r="C74" s="1499"/>
      <c r="D74" s="267"/>
      <c r="K74" s="1041"/>
      <c r="L74" s="1499"/>
      <c r="M74" s="1499"/>
      <c r="N74" s="1041"/>
      <c r="O74" s="1041"/>
      <c r="P74" s="1041"/>
      <c r="Q74" s="1041"/>
      <c r="R74" s="1499"/>
      <c r="S74" s="1041"/>
      <c r="T74" s="1041"/>
      <c r="U74" s="450"/>
      <c r="V74" s="1041"/>
      <c r="W74" s="1041"/>
      <c r="X74" s="1041"/>
      <c r="Y74" s="1041"/>
      <c r="Z74" s="1041"/>
      <c r="AA74" s="1495"/>
      <c r="AB74" s="472"/>
      <c r="AC74" s="472"/>
      <c r="AD74" s="472"/>
      <c r="AE74" s="472"/>
    </row>
    <row r="75" spans="1:31" s="14431" customFormat="1" ht="11.25" customHeight="1">
      <c r="A75" s="876"/>
      <c r="B75" s="1499"/>
      <c r="C75" s="1499"/>
      <c r="D75" s="267"/>
      <c r="K75" s="1041"/>
      <c r="L75" s="1499"/>
      <c r="M75" s="1499"/>
      <c r="N75" s="1041"/>
      <c r="O75" s="1041"/>
      <c r="P75" s="1041"/>
      <c r="Q75" s="1041"/>
      <c r="R75" s="1499"/>
      <c r="S75" s="1041"/>
      <c r="T75" s="1041"/>
      <c r="U75" s="450"/>
      <c r="V75" s="1041"/>
      <c r="W75" s="1041"/>
      <c r="X75" s="1041"/>
      <c r="Y75" s="1041"/>
      <c r="Z75" s="1041"/>
      <c r="AA75" s="1495"/>
      <c r="AB75" s="472"/>
      <c r="AC75" s="472"/>
      <c r="AD75" s="472"/>
      <c r="AE75" s="472"/>
    </row>
    <row r="76" spans="1:31" s="14431" customFormat="1" ht="11.25" customHeight="1">
      <c r="A76" s="876"/>
      <c r="B76" s="1499"/>
      <c r="C76" s="1499"/>
      <c r="D76" s="267"/>
      <c r="K76" s="1041"/>
      <c r="L76" s="1499"/>
      <c r="M76" s="1499"/>
      <c r="N76" s="1041"/>
      <c r="O76" s="1041"/>
      <c r="P76" s="1041"/>
      <c r="Q76" s="1041"/>
      <c r="R76" s="1499"/>
      <c r="S76" s="1041"/>
      <c r="T76" s="1041"/>
      <c r="U76" s="450"/>
      <c r="V76" s="1041"/>
      <c r="W76" s="1041"/>
      <c r="X76" s="1041"/>
      <c r="Y76" s="1041"/>
      <c r="Z76" s="1041"/>
      <c r="AA76" s="1495"/>
      <c r="AB76" s="472"/>
      <c r="AC76" s="472"/>
      <c r="AD76" s="472"/>
      <c r="AE76" s="472"/>
    </row>
    <row r="77" spans="1:31" s="14431" customFormat="1" ht="11.25" customHeight="1">
      <c r="A77" s="876"/>
      <c r="B77" s="1499"/>
      <c r="C77" s="1499"/>
      <c r="D77" s="267"/>
      <c r="K77" s="1041"/>
      <c r="L77" s="1499"/>
      <c r="M77" s="1499"/>
      <c r="N77" s="1041"/>
      <c r="O77" s="1041"/>
      <c r="P77" s="1041"/>
      <c r="Q77" s="1041"/>
      <c r="R77" s="1499"/>
      <c r="S77" s="1041"/>
      <c r="T77" s="1041"/>
      <c r="U77" s="450"/>
      <c r="V77" s="1041"/>
      <c r="W77" s="1041"/>
      <c r="X77" s="1041"/>
      <c r="Y77" s="1041"/>
      <c r="Z77" s="1041"/>
      <c r="AA77" s="1495"/>
      <c r="AB77" s="472"/>
      <c r="AC77" s="472"/>
      <c r="AD77" s="472"/>
      <c r="AE77" s="472"/>
    </row>
    <row r="78" spans="1:31" s="14431" customFormat="1" ht="11.25" customHeight="1">
      <c r="A78" s="876"/>
      <c r="B78" s="1499"/>
      <c r="C78" s="1499"/>
      <c r="D78" s="267"/>
      <c r="K78" s="1041"/>
      <c r="L78" s="1499"/>
      <c r="M78" s="1499"/>
      <c r="N78" s="1041"/>
      <c r="O78" s="1041"/>
      <c r="P78" s="1041"/>
      <c r="Q78" s="1041"/>
      <c r="R78" s="1499"/>
      <c r="S78" s="1041"/>
      <c r="T78" s="1041"/>
      <c r="U78" s="450"/>
      <c r="V78" s="1041"/>
      <c r="W78" s="1041"/>
      <c r="X78" s="1041"/>
      <c r="Y78" s="1041"/>
      <c r="Z78" s="1041"/>
      <c r="AA78" s="1495"/>
      <c r="AB78" s="472"/>
      <c r="AC78" s="472"/>
      <c r="AD78" s="472"/>
      <c r="AE78" s="472"/>
    </row>
    <row r="79" spans="1:31" s="14431" customFormat="1" ht="11.25" customHeight="1">
      <c r="A79" s="876"/>
      <c r="B79" s="1499"/>
      <c r="C79" s="1499"/>
      <c r="D79" s="267"/>
      <c r="K79" s="1041"/>
      <c r="L79" s="1499"/>
      <c r="M79" s="1499"/>
      <c r="N79" s="1041"/>
      <c r="O79" s="1041"/>
      <c r="P79" s="1041"/>
      <c r="Q79" s="1041"/>
      <c r="R79" s="1499"/>
      <c r="S79" s="1041"/>
      <c r="T79" s="1041"/>
      <c r="U79" s="450"/>
      <c r="V79" s="1041"/>
      <c r="W79" s="1041"/>
      <c r="X79" s="1041"/>
      <c r="Y79" s="1041"/>
      <c r="Z79" s="1041"/>
      <c r="AA79" s="1495"/>
      <c r="AB79" s="472"/>
      <c r="AC79" s="472"/>
      <c r="AD79" s="472"/>
      <c r="AE79" s="472"/>
    </row>
    <row r="80" spans="1:31" s="14431" customFormat="1" ht="11.25" customHeight="1">
      <c r="A80" s="876"/>
      <c r="B80" s="1499"/>
      <c r="C80" s="1499"/>
      <c r="D80" s="267"/>
      <c r="K80" s="1041"/>
      <c r="L80" s="1499"/>
      <c r="M80" s="1499"/>
      <c r="N80" s="1041"/>
      <c r="O80" s="1041"/>
      <c r="P80" s="1041"/>
      <c r="Q80" s="1041"/>
      <c r="R80" s="1499"/>
      <c r="S80" s="1041"/>
      <c r="T80" s="1041"/>
      <c r="U80" s="450"/>
      <c r="V80" s="1041"/>
      <c r="W80" s="1041"/>
      <c r="X80" s="1041"/>
      <c r="Y80" s="1041"/>
      <c r="Z80" s="1041"/>
      <c r="AA80" s="1495"/>
      <c r="AB80" s="472"/>
      <c r="AC80" s="472"/>
      <c r="AD80" s="472"/>
      <c r="AE80" s="472"/>
    </row>
    <row r="81" spans="1:31" s="14431" customFormat="1" ht="11.25" customHeight="1">
      <c r="A81" s="876"/>
      <c r="B81" s="1499"/>
      <c r="C81" s="1499"/>
      <c r="D81" s="267"/>
      <c r="K81" s="1041"/>
      <c r="L81" s="1499"/>
      <c r="M81" s="1499"/>
      <c r="N81" s="1041"/>
      <c r="O81" s="1041"/>
      <c r="P81" s="1041"/>
      <c r="Q81" s="1041"/>
      <c r="R81" s="1499"/>
      <c r="S81" s="1041"/>
      <c r="T81" s="1041"/>
      <c r="U81" s="450"/>
      <c r="V81" s="1041"/>
      <c r="W81" s="1041"/>
      <c r="X81" s="1041"/>
      <c r="Y81" s="1041"/>
      <c r="Z81" s="1041"/>
      <c r="AA81" s="1495"/>
      <c r="AB81" s="472"/>
      <c r="AC81" s="472"/>
      <c r="AD81" s="472"/>
      <c r="AE81" s="472"/>
    </row>
    <row r="82" spans="1:31" s="14431" customFormat="1" ht="11.25" customHeight="1">
      <c r="A82" s="876"/>
      <c r="B82" s="1499"/>
      <c r="C82" s="1499"/>
      <c r="D82" s="267"/>
      <c r="K82" s="1041"/>
      <c r="L82" s="1499"/>
      <c r="M82" s="1499"/>
      <c r="N82" s="1041"/>
      <c r="O82" s="1041"/>
      <c r="P82" s="1041"/>
      <c r="Q82" s="1041"/>
      <c r="R82" s="1499"/>
      <c r="S82" s="1041"/>
      <c r="T82" s="1041"/>
      <c r="U82" s="450"/>
      <c r="V82" s="1041"/>
      <c r="W82" s="1041"/>
      <c r="X82" s="1041"/>
      <c r="Y82" s="1041"/>
      <c r="Z82" s="1041"/>
      <c r="AA82" s="1495"/>
      <c r="AB82" s="472"/>
      <c r="AC82" s="472"/>
      <c r="AD82" s="472"/>
      <c r="AE82" s="472"/>
    </row>
    <row r="83" spans="1:31" s="14431" customFormat="1" ht="11.25" customHeight="1">
      <c r="A83" s="876"/>
      <c r="B83" s="1499"/>
      <c r="C83" s="1499"/>
      <c r="D83" s="267"/>
      <c r="K83" s="1041"/>
      <c r="L83" s="1499"/>
      <c r="M83" s="1499"/>
      <c r="N83" s="1041"/>
      <c r="O83" s="1041"/>
      <c r="P83" s="1041"/>
      <c r="Q83" s="1041"/>
      <c r="R83" s="1499"/>
      <c r="S83" s="1041"/>
      <c r="T83" s="1041"/>
      <c r="U83" s="450"/>
      <c r="V83" s="1041"/>
      <c r="W83" s="1041"/>
      <c r="X83" s="1041"/>
      <c r="Y83" s="1041"/>
      <c r="Z83" s="1041"/>
      <c r="AA83" s="1495"/>
      <c r="AB83" s="472"/>
      <c r="AC83" s="472"/>
      <c r="AD83" s="472"/>
      <c r="AE83" s="472"/>
    </row>
    <row r="84" spans="1:31" s="14431" customFormat="1" ht="11.25" customHeight="1">
      <c r="A84" s="876"/>
      <c r="B84" s="1499"/>
      <c r="C84" s="1499"/>
      <c r="D84" s="267"/>
      <c r="K84" s="1041"/>
      <c r="L84" s="1499"/>
      <c r="M84" s="1499"/>
      <c r="N84" s="1041"/>
      <c r="O84" s="1041"/>
      <c r="P84" s="1041"/>
      <c r="Q84" s="1041"/>
      <c r="R84" s="1499"/>
      <c r="S84" s="1041"/>
      <c r="T84" s="1041"/>
      <c r="U84" s="450"/>
      <c r="V84" s="1041"/>
      <c r="W84" s="1041"/>
      <c r="X84" s="1041"/>
      <c r="Y84" s="1041"/>
      <c r="Z84" s="1041"/>
      <c r="AA84" s="1495"/>
      <c r="AB84" s="472"/>
      <c r="AC84" s="472"/>
      <c r="AD84" s="472"/>
      <c r="AE84" s="472"/>
    </row>
    <row r="85" spans="1:31" s="14431" customFormat="1" ht="11.25" customHeight="1">
      <c r="A85" s="876"/>
      <c r="B85" s="1499"/>
      <c r="C85" s="1499"/>
      <c r="D85" s="267"/>
      <c r="K85" s="1041"/>
      <c r="L85" s="1499"/>
      <c r="M85" s="1499"/>
      <c r="N85" s="1041"/>
      <c r="O85" s="1041"/>
      <c r="P85" s="1041"/>
      <c r="Q85" s="1041"/>
      <c r="R85" s="1499"/>
      <c r="S85" s="1041"/>
      <c r="T85" s="1041"/>
      <c r="U85" s="450"/>
      <c r="V85" s="1041"/>
      <c r="W85" s="1041"/>
      <c r="X85" s="1041"/>
      <c r="Y85" s="1041"/>
      <c r="Z85" s="1041"/>
      <c r="AA85" s="1495"/>
      <c r="AB85" s="472"/>
      <c r="AC85" s="472"/>
      <c r="AD85" s="472"/>
      <c r="AE85" s="472"/>
    </row>
    <row r="86" spans="1:31" s="14431" customFormat="1" ht="11.25" customHeight="1">
      <c r="A86" s="876"/>
      <c r="B86" s="1499"/>
      <c r="C86" s="1499"/>
      <c r="D86" s="267"/>
      <c r="K86" s="1041"/>
      <c r="L86" s="1499"/>
      <c r="M86" s="1499"/>
      <c r="N86" s="1041"/>
      <c r="O86" s="1041"/>
      <c r="P86" s="1041"/>
      <c r="Q86" s="1041"/>
      <c r="R86" s="1499"/>
      <c r="S86" s="1041"/>
      <c r="T86" s="1041"/>
      <c r="U86" s="450"/>
      <c r="V86" s="1041"/>
      <c r="W86" s="1041"/>
      <c r="X86" s="1041"/>
      <c r="Y86" s="1041"/>
      <c r="Z86" s="1041"/>
      <c r="AA86" s="1495"/>
      <c r="AB86" s="472"/>
      <c r="AC86" s="472"/>
      <c r="AD86" s="472"/>
      <c r="AE86" s="472"/>
    </row>
    <row r="87" spans="1:31" s="14431" customFormat="1" ht="11.25" customHeight="1">
      <c r="A87" s="876"/>
      <c r="B87" s="1499"/>
      <c r="C87" s="1499"/>
      <c r="D87" s="267"/>
      <c r="K87" s="1041"/>
      <c r="L87" s="1499"/>
      <c r="M87" s="1499"/>
      <c r="N87" s="1041"/>
      <c r="O87" s="1041"/>
      <c r="P87" s="1041"/>
      <c r="Q87" s="1041"/>
      <c r="R87" s="1499"/>
      <c r="S87" s="1041"/>
      <c r="T87" s="1041"/>
      <c r="U87" s="450"/>
      <c r="V87" s="1041"/>
      <c r="W87" s="1041"/>
      <c r="X87" s="1041"/>
      <c r="Y87" s="1041"/>
      <c r="Z87" s="1041"/>
      <c r="AA87" s="1495"/>
      <c r="AB87" s="472"/>
      <c r="AC87" s="472"/>
      <c r="AD87" s="472"/>
      <c r="AE87" s="472"/>
    </row>
    <row r="88" spans="1:31" s="14431" customFormat="1" ht="11.25" customHeight="1">
      <c r="A88" s="876"/>
      <c r="B88" s="1499"/>
      <c r="C88" s="1499"/>
      <c r="D88" s="267"/>
      <c r="K88" s="1041"/>
      <c r="L88" s="1499"/>
      <c r="M88" s="1499"/>
      <c r="N88" s="1041"/>
      <c r="O88" s="1041"/>
      <c r="P88" s="1041"/>
      <c r="Q88" s="1041"/>
      <c r="R88" s="1499"/>
      <c r="S88" s="1041"/>
      <c r="T88" s="1041"/>
      <c r="U88" s="450"/>
      <c r="V88" s="1041"/>
      <c r="W88" s="1041"/>
      <c r="X88" s="1041"/>
      <c r="Y88" s="1041"/>
      <c r="Z88" s="1041"/>
      <c r="AA88" s="1495"/>
      <c r="AB88" s="472"/>
      <c r="AC88" s="472"/>
      <c r="AD88" s="472"/>
      <c r="AE88" s="472"/>
    </row>
    <row r="89" spans="1:31" s="14431" customFormat="1" ht="11.25" customHeight="1">
      <c r="A89" s="876"/>
      <c r="B89" s="1499"/>
      <c r="C89" s="1499"/>
      <c r="D89" s="267"/>
      <c r="K89" s="1041"/>
      <c r="L89" s="1499"/>
      <c r="M89" s="1499"/>
      <c r="N89" s="1041"/>
      <c r="O89" s="1041"/>
      <c r="P89" s="1041"/>
      <c r="Q89" s="1041"/>
      <c r="R89" s="1499"/>
      <c r="S89" s="1041"/>
      <c r="T89" s="1041"/>
      <c r="U89" s="450"/>
      <c r="V89" s="1041"/>
      <c r="W89" s="1041"/>
      <c r="X89" s="1041"/>
      <c r="Y89" s="1041"/>
      <c r="Z89" s="1041"/>
      <c r="AA89" s="1495"/>
      <c r="AB89" s="472"/>
      <c r="AC89" s="472"/>
      <c r="AD89" s="472"/>
      <c r="AE89" s="472"/>
    </row>
    <row r="90" spans="1:31" s="14431" customFormat="1" ht="11.25" customHeight="1">
      <c r="A90" s="876"/>
      <c r="B90" s="1499"/>
      <c r="C90" s="1499"/>
      <c r="D90" s="267"/>
      <c r="K90" s="1041"/>
      <c r="L90" s="1499"/>
      <c r="M90" s="1499"/>
      <c r="N90" s="1041"/>
      <c r="O90" s="1041"/>
      <c r="P90" s="1041"/>
      <c r="Q90" s="1041"/>
      <c r="R90" s="1499"/>
      <c r="S90" s="1041"/>
      <c r="T90" s="1041"/>
      <c r="U90" s="450"/>
      <c r="V90" s="1041"/>
      <c r="W90" s="1041"/>
      <c r="X90" s="1041"/>
      <c r="Y90" s="1041"/>
      <c r="Z90" s="1041"/>
      <c r="AA90" s="1495"/>
      <c r="AB90" s="472"/>
      <c r="AC90" s="472"/>
      <c r="AD90" s="472"/>
      <c r="AE90" s="472"/>
    </row>
    <row r="91" spans="1:31" s="14431" customFormat="1" ht="11.25" customHeight="1">
      <c r="A91" s="876"/>
      <c r="B91" s="1499"/>
      <c r="C91" s="1499"/>
      <c r="D91" s="267"/>
      <c r="K91" s="1041"/>
      <c r="L91" s="1499"/>
      <c r="M91" s="1499"/>
      <c r="N91" s="1041"/>
      <c r="O91" s="1041"/>
      <c r="P91" s="1041"/>
      <c r="Q91" s="1041"/>
      <c r="R91" s="1499"/>
      <c r="S91" s="1041"/>
      <c r="T91" s="1041"/>
      <c r="U91" s="450"/>
      <c r="V91" s="1041"/>
      <c r="W91" s="1041"/>
      <c r="X91" s="1041"/>
      <c r="Y91" s="1041"/>
      <c r="Z91" s="1041"/>
      <c r="AA91" s="1495"/>
      <c r="AB91" s="472"/>
      <c r="AC91" s="472"/>
      <c r="AD91" s="472"/>
      <c r="AE91" s="472"/>
    </row>
    <row r="92" spans="1:31" s="14431" customFormat="1" ht="11.25" customHeight="1">
      <c r="A92" s="876"/>
      <c r="B92" s="1499"/>
      <c r="C92" s="1499"/>
      <c r="D92" s="267"/>
      <c r="K92" s="1041"/>
      <c r="L92" s="1499"/>
      <c r="M92" s="1499"/>
      <c r="N92" s="1041"/>
      <c r="O92" s="1041"/>
      <c r="P92" s="1041"/>
      <c r="Q92" s="1041"/>
      <c r="R92" s="1499"/>
      <c r="S92" s="1041"/>
      <c r="T92" s="1041"/>
      <c r="U92" s="450"/>
      <c r="V92" s="1041"/>
      <c r="W92" s="1041"/>
      <c r="X92" s="1041"/>
      <c r="Y92" s="1041"/>
      <c r="Z92" s="1041"/>
      <c r="AA92" s="1495"/>
      <c r="AB92" s="472"/>
      <c r="AC92" s="472"/>
      <c r="AD92" s="472"/>
      <c r="AE92" s="472"/>
    </row>
    <row r="93" spans="1:31" s="14431" customFormat="1" ht="11.25" customHeight="1">
      <c r="A93" s="876"/>
      <c r="B93" s="1499"/>
      <c r="C93" s="1499"/>
      <c r="D93" s="267"/>
      <c r="K93" s="1041"/>
      <c r="L93" s="1499"/>
      <c r="M93" s="1499"/>
      <c r="N93" s="1041"/>
      <c r="O93" s="1041"/>
      <c r="P93" s="1041"/>
      <c r="Q93" s="1041"/>
      <c r="R93" s="1499"/>
      <c r="S93" s="1041"/>
      <c r="T93" s="1041"/>
      <c r="U93" s="450"/>
      <c r="V93" s="1041"/>
      <c r="W93" s="1041"/>
      <c r="X93" s="1041"/>
      <c r="Y93" s="1041"/>
      <c r="Z93" s="1041"/>
      <c r="AA93" s="1495"/>
      <c r="AB93" s="472"/>
      <c r="AC93" s="472"/>
      <c r="AD93" s="472"/>
      <c r="AE93" s="472"/>
    </row>
    <row r="94" spans="1:31" s="14431" customFormat="1" ht="11.25" customHeight="1">
      <c r="A94" s="876"/>
      <c r="B94" s="1499"/>
      <c r="C94" s="1499"/>
      <c r="D94" s="267"/>
      <c r="K94" s="1041"/>
      <c r="L94" s="1499"/>
      <c r="M94" s="1499"/>
      <c r="N94" s="1041"/>
      <c r="O94" s="1041"/>
      <c r="P94" s="1041"/>
      <c r="Q94" s="1041"/>
      <c r="R94" s="1499"/>
      <c r="S94" s="1041"/>
      <c r="T94" s="1041"/>
      <c r="U94" s="450"/>
      <c r="V94" s="1041"/>
      <c r="W94" s="1041"/>
      <c r="X94" s="1041"/>
      <c r="Y94" s="1041"/>
      <c r="Z94" s="1041"/>
      <c r="AA94" s="1495"/>
      <c r="AB94" s="472"/>
      <c r="AC94" s="472"/>
      <c r="AD94" s="472"/>
      <c r="AE94" s="472"/>
    </row>
    <row r="95" spans="1:31" s="14431" customFormat="1" ht="11.25" customHeight="1">
      <c r="A95" s="876"/>
      <c r="B95" s="1499"/>
      <c r="C95" s="1499"/>
      <c r="D95" s="267"/>
      <c r="K95" s="1041"/>
      <c r="L95" s="1499"/>
      <c r="M95" s="1499"/>
      <c r="N95" s="1041"/>
      <c r="O95" s="1041"/>
      <c r="P95" s="1041"/>
      <c r="Q95" s="1041"/>
      <c r="R95" s="1499"/>
      <c r="S95" s="1041"/>
      <c r="T95" s="1041"/>
      <c r="U95" s="450"/>
      <c r="V95" s="1041"/>
      <c r="W95" s="1041"/>
      <c r="X95" s="1041"/>
      <c r="Y95" s="1041"/>
      <c r="Z95" s="1041"/>
      <c r="AA95" s="1495"/>
      <c r="AB95" s="472"/>
      <c r="AC95" s="472"/>
      <c r="AD95" s="472"/>
      <c r="AE95" s="472"/>
    </row>
    <row r="96" spans="1:31" s="14431" customFormat="1" ht="11.25" customHeight="1">
      <c r="A96" s="876"/>
      <c r="B96" s="1499"/>
      <c r="C96" s="1499"/>
      <c r="D96" s="267"/>
      <c r="K96" s="1041"/>
      <c r="L96" s="1499"/>
      <c r="M96" s="1499"/>
      <c r="N96" s="1041"/>
      <c r="O96" s="1041"/>
      <c r="P96" s="1041"/>
      <c r="Q96" s="1041"/>
      <c r="R96" s="1499"/>
      <c r="S96" s="1041"/>
      <c r="T96" s="1041"/>
      <c r="U96" s="450"/>
      <c r="V96" s="1041"/>
      <c r="W96" s="1041"/>
      <c r="X96" s="1041"/>
      <c r="Y96" s="1041"/>
      <c r="Z96" s="1041"/>
      <c r="AA96" s="1495"/>
      <c r="AB96" s="472"/>
      <c r="AC96" s="472"/>
      <c r="AD96" s="472"/>
      <c r="AE96" s="472"/>
    </row>
    <row r="97" spans="1:31" s="14431" customFormat="1" ht="11.25" customHeight="1">
      <c r="A97" s="876"/>
      <c r="B97" s="1499"/>
      <c r="C97" s="1499"/>
      <c r="D97" s="267"/>
      <c r="K97" s="1041"/>
      <c r="L97" s="1499"/>
      <c r="M97" s="1499"/>
      <c r="N97" s="1041"/>
      <c r="O97" s="1041"/>
      <c r="P97" s="1041"/>
      <c r="Q97" s="1041"/>
      <c r="R97" s="1499"/>
      <c r="S97" s="1041"/>
      <c r="T97" s="1041"/>
      <c r="U97" s="450"/>
      <c r="V97" s="1041"/>
      <c r="W97" s="1041"/>
      <c r="X97" s="1041"/>
      <c r="Y97" s="1041"/>
      <c r="Z97" s="1041"/>
      <c r="AA97" s="1495"/>
      <c r="AB97" s="472"/>
      <c r="AC97" s="472"/>
      <c r="AD97" s="472"/>
      <c r="AE97" s="472"/>
    </row>
    <row r="98" spans="1:31" s="14431" customFormat="1" ht="11.25" customHeight="1">
      <c r="A98" s="876"/>
      <c r="B98" s="1499"/>
      <c r="C98" s="1499"/>
      <c r="D98" s="267"/>
      <c r="K98" s="1041"/>
      <c r="L98" s="1499"/>
      <c r="M98" s="1499"/>
      <c r="N98" s="1041"/>
      <c r="O98" s="1041"/>
      <c r="P98" s="1041"/>
      <c r="Q98" s="1041"/>
      <c r="R98" s="1499"/>
      <c r="S98" s="1041"/>
      <c r="T98" s="1041"/>
      <c r="U98" s="450"/>
      <c r="V98" s="1041"/>
      <c r="W98" s="1041"/>
      <c r="X98" s="1041"/>
      <c r="Y98" s="1041"/>
      <c r="Z98" s="1041"/>
      <c r="AA98" s="1495"/>
      <c r="AB98" s="472"/>
      <c r="AC98" s="472"/>
      <c r="AD98" s="472"/>
      <c r="AE98" s="472"/>
    </row>
    <row r="99" spans="1:31" s="14431" customFormat="1" ht="11.25" customHeight="1">
      <c r="A99" s="876"/>
      <c r="B99" s="1499"/>
      <c r="C99" s="1499"/>
      <c r="D99" s="267"/>
      <c r="K99" s="1041"/>
      <c r="L99" s="1499"/>
      <c r="M99" s="1499"/>
      <c r="N99" s="1041"/>
      <c r="O99" s="1041"/>
      <c r="P99" s="1041"/>
      <c r="Q99" s="1041"/>
      <c r="R99" s="1499"/>
      <c r="S99" s="1041"/>
      <c r="T99" s="1041"/>
      <c r="U99" s="450"/>
      <c r="V99" s="1041"/>
      <c r="W99" s="1041"/>
      <c r="X99" s="1041"/>
      <c r="Y99" s="1041"/>
      <c r="Z99" s="1041"/>
      <c r="AA99" s="1495"/>
      <c r="AB99" s="472"/>
      <c r="AC99" s="472"/>
      <c r="AD99" s="472"/>
      <c r="AE99" s="472"/>
    </row>
    <row r="100" spans="1:31" s="14431" customFormat="1" ht="11.25" customHeight="1">
      <c r="A100" s="876"/>
      <c r="B100" s="1499"/>
      <c r="C100" s="1499"/>
      <c r="D100" s="267"/>
      <c r="K100" s="1041"/>
      <c r="L100" s="1499"/>
      <c r="M100" s="1499"/>
      <c r="N100" s="1041"/>
      <c r="O100" s="1041"/>
      <c r="P100" s="1041"/>
      <c r="Q100" s="1041"/>
      <c r="R100" s="1499"/>
      <c r="S100" s="1041"/>
      <c r="T100" s="1041"/>
      <c r="U100" s="450"/>
      <c r="V100" s="1041"/>
      <c r="W100" s="1041"/>
      <c r="X100" s="1041"/>
      <c r="Y100" s="1041"/>
      <c r="Z100" s="1041"/>
      <c r="AA100" s="1495"/>
      <c r="AB100" s="472"/>
      <c r="AC100" s="472"/>
      <c r="AD100" s="472"/>
      <c r="AE100" s="472"/>
    </row>
    <row r="101" spans="1:31" s="14431" customFormat="1" ht="11.25" customHeight="1">
      <c r="A101" s="876"/>
      <c r="B101" s="1499"/>
      <c r="C101" s="1499"/>
      <c r="D101" s="267"/>
      <c r="K101" s="1041"/>
      <c r="L101" s="1499"/>
      <c r="M101" s="1499"/>
      <c r="N101" s="1041"/>
      <c r="O101" s="1041"/>
      <c r="P101" s="1041"/>
      <c r="Q101" s="1041"/>
      <c r="R101" s="1499"/>
      <c r="S101" s="1041"/>
      <c r="T101" s="1041"/>
      <c r="U101" s="450"/>
      <c r="V101" s="1041"/>
      <c r="W101" s="1041"/>
      <c r="X101" s="1041"/>
      <c r="Y101" s="1041"/>
      <c r="Z101" s="1041"/>
      <c r="AA101" s="1495"/>
      <c r="AB101" s="472"/>
      <c r="AC101" s="472"/>
      <c r="AD101" s="472"/>
      <c r="AE101" s="472"/>
    </row>
    <row r="102" spans="1:31" s="14431" customFormat="1" ht="11.25" customHeight="1">
      <c r="A102" s="876"/>
      <c r="B102" s="1499"/>
      <c r="C102" s="1499"/>
      <c r="D102" s="267"/>
      <c r="K102" s="1041"/>
      <c r="L102" s="1499"/>
      <c r="M102" s="1499"/>
      <c r="N102" s="1041"/>
      <c r="O102" s="1041"/>
      <c r="P102" s="1041"/>
      <c r="Q102" s="1041"/>
      <c r="R102" s="1499"/>
      <c r="S102" s="1041"/>
      <c r="T102" s="1041"/>
      <c r="U102" s="450"/>
      <c r="V102" s="1041"/>
      <c r="W102" s="1041"/>
      <c r="X102" s="1041"/>
      <c r="Y102" s="1041"/>
      <c r="Z102" s="1041"/>
      <c r="AA102" s="1495"/>
      <c r="AB102" s="472"/>
      <c r="AC102" s="472"/>
      <c r="AD102" s="472"/>
      <c r="AE102" s="472"/>
    </row>
    <row r="103" spans="1:31" s="14431" customFormat="1" ht="11.25" customHeight="1">
      <c r="A103" s="876"/>
      <c r="B103" s="1499"/>
      <c r="C103" s="1499"/>
      <c r="D103" s="267"/>
      <c r="K103" s="1041"/>
      <c r="L103" s="1499"/>
      <c r="M103" s="1499"/>
      <c r="N103" s="1041"/>
      <c r="O103" s="1041"/>
      <c r="P103" s="1041"/>
      <c r="Q103" s="1041"/>
      <c r="R103" s="1499"/>
      <c r="S103" s="1041"/>
      <c r="T103" s="1041"/>
      <c r="U103" s="450"/>
      <c r="V103" s="1041"/>
      <c r="W103" s="1041"/>
      <c r="X103" s="1041"/>
      <c r="Y103" s="1041"/>
      <c r="Z103" s="1041"/>
      <c r="AA103" s="1495"/>
      <c r="AB103" s="472"/>
      <c r="AC103" s="472"/>
      <c r="AD103" s="472"/>
      <c r="AE103" s="472"/>
    </row>
    <row r="104" spans="1:31" s="14431" customFormat="1" ht="11.25" customHeight="1">
      <c r="A104" s="876"/>
      <c r="B104" s="1499"/>
      <c r="C104" s="1499"/>
      <c r="D104" s="267"/>
      <c r="K104" s="1041"/>
      <c r="L104" s="1499"/>
      <c r="M104" s="1499"/>
      <c r="N104" s="1041"/>
      <c r="O104" s="1041"/>
      <c r="P104" s="1041"/>
      <c r="Q104" s="1041"/>
      <c r="R104" s="1499"/>
      <c r="S104" s="1041"/>
      <c r="T104" s="1041"/>
      <c r="U104" s="450"/>
      <c r="V104" s="1041"/>
      <c r="W104" s="1041"/>
      <c r="X104" s="1041"/>
      <c r="Y104" s="1041"/>
      <c r="Z104" s="1041"/>
      <c r="AA104" s="1495"/>
      <c r="AB104" s="472"/>
      <c r="AC104" s="472"/>
      <c r="AD104" s="472"/>
      <c r="AE104" s="472"/>
    </row>
    <row r="105" spans="1:31" s="14431" customFormat="1" ht="11.25" customHeight="1">
      <c r="A105" s="876"/>
      <c r="B105" s="1499"/>
      <c r="C105" s="1499"/>
      <c r="D105" s="267"/>
      <c r="K105" s="1041"/>
      <c r="L105" s="1499"/>
      <c r="M105" s="1499"/>
      <c r="N105" s="1041"/>
      <c r="O105" s="1041"/>
      <c r="P105" s="1041"/>
      <c r="Q105" s="1041"/>
      <c r="R105" s="1499"/>
      <c r="S105" s="1041"/>
      <c r="T105" s="1041"/>
      <c r="U105" s="450"/>
      <c r="V105" s="1041"/>
      <c r="W105" s="1041"/>
      <c r="X105" s="1041"/>
      <c r="Y105" s="1041"/>
      <c r="Z105" s="1041"/>
      <c r="AA105" s="1495"/>
      <c r="AB105" s="472"/>
      <c r="AC105" s="472"/>
      <c r="AD105" s="472"/>
      <c r="AE105" s="472"/>
    </row>
    <row r="106" spans="1:31" s="14431" customFormat="1" ht="11.25" customHeight="1">
      <c r="A106" s="876"/>
      <c r="B106" s="1499"/>
      <c r="C106" s="1499"/>
      <c r="D106" s="267"/>
      <c r="K106" s="1041"/>
      <c r="L106" s="1499"/>
      <c r="M106" s="1499"/>
      <c r="N106" s="1041"/>
      <c r="O106" s="1041"/>
      <c r="P106" s="1041"/>
      <c r="Q106" s="1041"/>
      <c r="R106" s="1499"/>
      <c r="S106" s="1041"/>
      <c r="T106" s="1041"/>
      <c r="U106" s="450"/>
      <c r="V106" s="1041"/>
      <c r="W106" s="1041"/>
      <c r="X106" s="1041"/>
      <c r="Y106" s="1041"/>
      <c r="Z106" s="1041"/>
      <c r="AA106" s="1495"/>
      <c r="AB106" s="472"/>
      <c r="AC106" s="472"/>
      <c r="AD106" s="472"/>
      <c r="AE106" s="472"/>
    </row>
    <row r="107" spans="1:31" s="14431" customFormat="1" ht="11.25" customHeight="1">
      <c r="A107" s="876"/>
      <c r="B107" s="1499"/>
      <c r="C107" s="1499"/>
      <c r="D107" s="267"/>
      <c r="K107" s="1041"/>
      <c r="L107" s="1499"/>
      <c r="M107" s="1499"/>
      <c r="N107" s="1041"/>
      <c r="O107" s="1041"/>
      <c r="P107" s="1041"/>
      <c r="Q107" s="1041"/>
      <c r="R107" s="1499"/>
      <c r="S107" s="1041"/>
      <c r="T107" s="1041"/>
      <c r="U107" s="450"/>
      <c r="V107" s="1041"/>
      <c r="W107" s="1041"/>
      <c r="X107" s="1041"/>
      <c r="Y107" s="1041"/>
      <c r="Z107" s="1041"/>
      <c r="AA107" s="1495"/>
      <c r="AB107" s="472"/>
      <c r="AC107" s="472"/>
      <c r="AD107" s="472"/>
      <c r="AE107" s="472"/>
    </row>
    <row r="108" spans="1:31" s="14431" customFormat="1" ht="11.25" customHeight="1">
      <c r="A108" s="876"/>
      <c r="B108" s="1499"/>
      <c r="C108" s="1499"/>
      <c r="D108" s="267"/>
      <c r="K108" s="1041"/>
      <c r="L108" s="1499"/>
      <c r="M108" s="1499"/>
      <c r="N108" s="1041"/>
      <c r="O108" s="1041"/>
      <c r="P108" s="1041"/>
      <c r="Q108" s="1041"/>
      <c r="R108" s="1499"/>
      <c r="S108" s="1041"/>
      <c r="T108" s="1041"/>
      <c r="U108" s="450"/>
      <c r="V108" s="1041"/>
      <c r="W108" s="1041"/>
      <c r="X108" s="1041"/>
      <c r="Y108" s="1041"/>
      <c r="Z108" s="1041"/>
      <c r="AA108" s="1495"/>
      <c r="AB108" s="472"/>
      <c r="AC108" s="472"/>
      <c r="AD108" s="472"/>
      <c r="AE108" s="472"/>
    </row>
    <row r="109" spans="1:31" s="14431" customFormat="1" ht="11.25" customHeight="1">
      <c r="A109" s="876"/>
      <c r="B109" s="1499"/>
      <c r="C109" s="1499"/>
      <c r="D109" s="267"/>
      <c r="K109" s="1041"/>
      <c r="L109" s="1499"/>
      <c r="M109" s="1499"/>
      <c r="N109" s="1041"/>
      <c r="O109" s="1041"/>
      <c r="P109" s="1041"/>
      <c r="Q109" s="1041"/>
      <c r="R109" s="1499"/>
      <c r="S109" s="1041"/>
      <c r="T109" s="1041"/>
      <c r="U109" s="450"/>
      <c r="V109" s="1041"/>
      <c r="W109" s="1041"/>
      <c r="X109" s="1041"/>
      <c r="Y109" s="1041"/>
      <c r="Z109" s="1041"/>
      <c r="AA109" s="1495"/>
      <c r="AB109" s="472"/>
      <c r="AC109" s="472"/>
      <c r="AD109" s="472"/>
      <c r="AE109" s="472"/>
    </row>
    <row r="110" spans="1:31" s="14431" customFormat="1" ht="11.25" customHeight="1">
      <c r="A110" s="876"/>
      <c r="B110" s="1499"/>
      <c r="C110" s="1499"/>
      <c r="D110" s="267"/>
      <c r="K110" s="1041"/>
      <c r="L110" s="1499"/>
      <c r="M110" s="1499"/>
      <c r="N110" s="1041"/>
      <c r="O110" s="1041"/>
      <c r="P110" s="1041"/>
      <c r="Q110" s="1041"/>
      <c r="R110" s="1499"/>
      <c r="S110" s="1041"/>
      <c r="T110" s="1041"/>
      <c r="U110" s="450"/>
      <c r="V110" s="1041"/>
      <c r="W110" s="1041"/>
      <c r="X110" s="1041"/>
      <c r="Y110" s="1041"/>
      <c r="Z110" s="1041"/>
      <c r="AA110" s="1495"/>
      <c r="AB110" s="472"/>
      <c r="AC110" s="472"/>
      <c r="AD110" s="472"/>
      <c r="AE110" s="472"/>
    </row>
    <row r="111" spans="1:31" s="14431" customFormat="1" ht="11.25" customHeight="1">
      <c r="A111" s="876"/>
      <c r="B111" s="1499"/>
      <c r="C111" s="1499"/>
      <c r="D111" s="267"/>
      <c r="K111" s="1041"/>
      <c r="L111" s="1499"/>
      <c r="M111" s="1499"/>
      <c r="N111" s="1041"/>
      <c r="O111" s="1041"/>
      <c r="P111" s="1041"/>
      <c r="Q111" s="1041"/>
      <c r="R111" s="1499"/>
      <c r="S111" s="1041"/>
      <c r="T111" s="1041"/>
      <c r="U111" s="450"/>
      <c r="V111" s="1041"/>
      <c r="W111" s="1041"/>
      <c r="X111" s="1041"/>
      <c r="Y111" s="1041"/>
      <c r="Z111" s="1041"/>
      <c r="AA111" s="1495"/>
      <c r="AB111" s="472"/>
      <c r="AC111" s="472"/>
      <c r="AD111" s="472"/>
      <c r="AE111" s="472"/>
    </row>
    <row r="112" spans="1:31" s="14431" customFormat="1" ht="11.25" customHeight="1">
      <c r="A112" s="876"/>
      <c r="B112" s="1499"/>
      <c r="C112" s="1499"/>
      <c r="D112" s="267"/>
      <c r="K112" s="1041"/>
      <c r="L112" s="1499"/>
      <c r="M112" s="1499"/>
      <c r="N112" s="1041"/>
      <c r="O112" s="1041"/>
      <c r="P112" s="1041"/>
      <c r="Q112" s="1041"/>
      <c r="R112" s="1499"/>
      <c r="S112" s="1041"/>
      <c r="T112" s="1041"/>
      <c r="U112" s="450"/>
      <c r="V112" s="1041"/>
      <c r="W112" s="1041"/>
      <c r="X112" s="1041"/>
      <c r="Y112" s="1041"/>
      <c r="Z112" s="1041"/>
      <c r="AA112" s="1495"/>
      <c r="AB112" s="472"/>
      <c r="AC112" s="472"/>
      <c r="AD112" s="472"/>
      <c r="AE112" s="472"/>
    </row>
    <row r="113" spans="1:31" s="14431" customFormat="1" ht="11.25" customHeight="1">
      <c r="A113" s="876"/>
      <c r="B113" s="1499"/>
      <c r="C113" s="1499"/>
      <c r="D113" s="267"/>
      <c r="K113" s="1041"/>
      <c r="L113" s="1499"/>
      <c r="M113" s="1499"/>
      <c r="N113" s="1041"/>
      <c r="O113" s="1041"/>
      <c r="P113" s="1041"/>
      <c r="Q113" s="1041"/>
      <c r="R113" s="1499"/>
      <c r="S113" s="1041"/>
      <c r="T113" s="1041"/>
      <c r="U113" s="450"/>
      <c r="V113" s="1041"/>
      <c r="W113" s="1041"/>
      <c r="X113" s="1041"/>
      <c r="Y113" s="1041"/>
      <c r="Z113" s="1041"/>
      <c r="AA113" s="1495"/>
      <c r="AB113" s="472"/>
      <c r="AC113" s="472"/>
      <c r="AD113" s="472"/>
      <c r="AE113" s="472"/>
    </row>
    <row r="114" spans="1:31" s="14431" customFormat="1" ht="11.25" customHeight="1">
      <c r="A114" s="876"/>
      <c r="B114" s="1499"/>
      <c r="C114" s="1499"/>
      <c r="D114" s="267"/>
      <c r="K114" s="1041"/>
      <c r="L114" s="1499"/>
      <c r="M114" s="1499"/>
      <c r="N114" s="1041"/>
      <c r="O114" s="1041"/>
      <c r="P114" s="1041"/>
      <c r="Q114" s="1041"/>
      <c r="R114" s="1499"/>
      <c r="S114" s="1041"/>
      <c r="T114" s="1041"/>
      <c r="U114" s="450"/>
      <c r="V114" s="1041"/>
      <c r="W114" s="1041"/>
      <c r="X114" s="1041"/>
      <c r="Y114" s="1041"/>
      <c r="Z114" s="1041"/>
      <c r="AA114" s="1495"/>
      <c r="AB114" s="472"/>
      <c r="AC114" s="472"/>
      <c r="AD114" s="472"/>
      <c r="AE114" s="472"/>
    </row>
    <row r="115" spans="1:31" s="14431" customFormat="1" ht="11.25" customHeight="1">
      <c r="A115" s="876"/>
      <c r="B115" s="1499"/>
      <c r="C115" s="1499"/>
      <c r="D115" s="267"/>
      <c r="K115" s="1041"/>
      <c r="L115" s="1499"/>
      <c r="M115" s="1499"/>
      <c r="N115" s="1041"/>
      <c r="O115" s="1041"/>
      <c r="P115" s="1041"/>
      <c r="Q115" s="1041"/>
      <c r="R115" s="1499"/>
      <c r="S115" s="1041"/>
      <c r="T115" s="1041"/>
      <c r="U115" s="450"/>
      <c r="V115" s="1041"/>
      <c r="W115" s="1041"/>
      <c r="X115" s="1041"/>
      <c r="Y115" s="1041"/>
      <c r="Z115" s="1041"/>
      <c r="AA115" s="1495"/>
      <c r="AB115" s="472"/>
      <c r="AC115" s="472"/>
      <c r="AD115" s="472"/>
      <c r="AE115" s="472"/>
    </row>
    <row r="116" spans="1:31" s="14431" customFormat="1" ht="11.25" customHeight="1">
      <c r="A116" s="876"/>
      <c r="B116" s="1499"/>
      <c r="C116" s="1499"/>
      <c r="D116" s="267"/>
      <c r="K116" s="1041"/>
      <c r="L116" s="1499"/>
      <c r="M116" s="1499"/>
      <c r="N116" s="1041"/>
      <c r="O116" s="1041"/>
      <c r="P116" s="1041"/>
      <c r="Q116" s="1041"/>
      <c r="R116" s="1499"/>
      <c r="S116" s="1041"/>
      <c r="T116" s="1041"/>
      <c r="U116" s="450"/>
      <c r="V116" s="1041"/>
      <c r="W116" s="1041"/>
      <c r="X116" s="1041"/>
      <c r="Y116" s="1041"/>
      <c r="Z116" s="1041"/>
      <c r="AA116" s="1495"/>
      <c r="AB116" s="472"/>
      <c r="AC116" s="472"/>
      <c r="AD116" s="472"/>
      <c r="AE116" s="472"/>
    </row>
    <row r="117" spans="1:31" s="14431" customFormat="1" ht="11.25" customHeight="1">
      <c r="A117" s="876"/>
      <c r="B117" s="1499"/>
      <c r="C117" s="1499"/>
      <c r="D117" s="267"/>
      <c r="K117" s="1041"/>
      <c r="L117" s="1499"/>
      <c r="M117" s="1499"/>
      <c r="N117" s="1041"/>
      <c r="O117" s="1041"/>
      <c r="P117" s="1041"/>
      <c r="Q117" s="1041"/>
      <c r="R117" s="1499"/>
      <c r="S117" s="1041"/>
      <c r="T117" s="1041"/>
      <c r="U117" s="450"/>
      <c r="V117" s="1041"/>
      <c r="W117" s="1041"/>
      <c r="X117" s="1041"/>
      <c r="Y117" s="1041"/>
      <c r="Z117" s="1041"/>
      <c r="AA117" s="1495"/>
      <c r="AB117" s="472"/>
      <c r="AC117" s="472"/>
      <c r="AD117" s="472"/>
      <c r="AE117" s="472"/>
    </row>
    <row r="118" spans="1:31" s="14431" customFormat="1" ht="11.25" customHeight="1">
      <c r="A118" s="876"/>
      <c r="B118" s="1499"/>
      <c r="C118" s="1499"/>
      <c r="D118" s="267"/>
      <c r="K118" s="1041"/>
      <c r="L118" s="1499"/>
      <c r="M118" s="1499"/>
      <c r="N118" s="1041"/>
      <c r="O118" s="1041"/>
      <c r="P118" s="1041"/>
      <c r="Q118" s="1041"/>
      <c r="R118" s="1499"/>
      <c r="S118" s="1041"/>
      <c r="T118" s="1041"/>
      <c r="U118" s="450"/>
      <c r="V118" s="1041"/>
      <c r="W118" s="1041"/>
      <c r="X118" s="1041"/>
      <c r="Y118" s="1041"/>
      <c r="Z118" s="1041"/>
      <c r="AA118" s="1495"/>
      <c r="AB118" s="472"/>
      <c r="AC118" s="472"/>
      <c r="AD118" s="472"/>
      <c r="AE118" s="472"/>
    </row>
    <row r="119" spans="1:31" s="14431" customFormat="1" ht="11.25" customHeight="1">
      <c r="A119" s="876"/>
      <c r="B119" s="1499"/>
      <c r="C119" s="1499"/>
      <c r="D119" s="267"/>
      <c r="K119" s="1041"/>
      <c r="L119" s="1499"/>
      <c r="M119" s="1499"/>
      <c r="N119" s="1041"/>
      <c r="O119" s="1041"/>
      <c r="P119" s="1041"/>
      <c r="Q119" s="1041"/>
      <c r="R119" s="1499"/>
      <c r="S119" s="1041"/>
      <c r="T119" s="1041"/>
      <c r="U119" s="450"/>
      <c r="V119" s="1041"/>
      <c r="W119" s="1041"/>
      <c r="X119" s="1041"/>
      <c r="Y119" s="1041"/>
      <c r="Z119" s="1041"/>
      <c r="AA119" s="1495"/>
      <c r="AB119" s="472"/>
      <c r="AC119" s="472"/>
      <c r="AD119" s="472"/>
      <c r="AE119" s="472"/>
    </row>
    <row r="120" spans="1:31" s="14431" customFormat="1" ht="11.25" customHeight="1">
      <c r="A120" s="876"/>
      <c r="B120" s="1499"/>
      <c r="C120" s="1499"/>
      <c r="D120" s="267"/>
      <c r="K120" s="1041"/>
      <c r="L120" s="1499"/>
      <c r="M120" s="1499"/>
      <c r="N120" s="1041"/>
      <c r="O120" s="1041"/>
      <c r="P120" s="1041"/>
      <c r="Q120" s="1041"/>
      <c r="R120" s="1499"/>
      <c r="S120" s="1041"/>
      <c r="T120" s="1041"/>
      <c r="U120" s="450"/>
      <c r="V120" s="1041"/>
      <c r="W120" s="1041"/>
      <c r="X120" s="1041"/>
      <c r="Y120" s="1041"/>
      <c r="Z120" s="1041"/>
      <c r="AA120" s="1495"/>
      <c r="AB120" s="472"/>
      <c r="AC120" s="472"/>
      <c r="AD120" s="472"/>
      <c r="AE120" s="472"/>
    </row>
    <row r="121" spans="1:31" s="14431" customFormat="1" ht="11.25" customHeight="1">
      <c r="A121" s="876"/>
      <c r="B121" s="1499"/>
      <c r="C121" s="1499"/>
      <c r="D121" s="267"/>
      <c r="K121" s="1041"/>
      <c r="L121" s="1499"/>
      <c r="M121" s="1499"/>
      <c r="N121" s="1041"/>
      <c r="O121" s="1041"/>
      <c r="P121" s="1041"/>
      <c r="Q121" s="1041"/>
      <c r="R121" s="1499"/>
      <c r="S121" s="1041"/>
      <c r="T121" s="1041"/>
      <c r="U121" s="450"/>
      <c r="V121" s="1041"/>
      <c r="W121" s="1041"/>
      <c r="X121" s="1041"/>
      <c r="Y121" s="1041"/>
      <c r="Z121" s="1041"/>
      <c r="AA121" s="1495"/>
      <c r="AB121" s="472"/>
      <c r="AC121" s="472"/>
      <c r="AD121" s="472"/>
      <c r="AE121" s="472"/>
    </row>
    <row r="122" spans="1:31" s="14431" customFormat="1" ht="11.25" customHeight="1">
      <c r="A122" s="876"/>
      <c r="B122" s="1499"/>
      <c r="C122" s="1499"/>
      <c r="D122" s="267"/>
      <c r="K122" s="1041"/>
      <c r="L122" s="1499"/>
      <c r="M122" s="1499"/>
      <c r="N122" s="1041"/>
      <c r="O122" s="1041"/>
      <c r="P122" s="1041"/>
      <c r="Q122" s="1041"/>
      <c r="R122" s="1499"/>
      <c r="S122" s="1041"/>
      <c r="T122" s="1041"/>
      <c r="U122" s="450"/>
      <c r="V122" s="1041"/>
      <c r="W122" s="1041"/>
      <c r="X122" s="1041"/>
      <c r="Y122" s="1041"/>
      <c r="Z122" s="1041"/>
      <c r="AA122" s="1495"/>
      <c r="AB122" s="472"/>
      <c r="AC122" s="472"/>
      <c r="AD122" s="472"/>
      <c r="AE122" s="472"/>
    </row>
    <row r="123" spans="1:31" s="14431" customFormat="1" ht="11.25" customHeight="1">
      <c r="A123" s="876"/>
      <c r="B123" s="1499"/>
      <c r="C123" s="1499"/>
      <c r="D123" s="267"/>
      <c r="K123" s="1041"/>
      <c r="L123" s="1499"/>
      <c r="M123" s="1499"/>
      <c r="N123" s="1041"/>
      <c r="O123" s="1041"/>
      <c r="P123" s="1041"/>
      <c r="Q123" s="1041"/>
      <c r="R123" s="1499"/>
      <c r="S123" s="1041"/>
      <c r="T123" s="1041"/>
      <c r="U123" s="450"/>
      <c r="V123" s="1041"/>
      <c r="W123" s="1041"/>
      <c r="X123" s="1041"/>
      <c r="Y123" s="1041"/>
      <c r="Z123" s="1041"/>
      <c r="AA123" s="1495"/>
      <c r="AB123" s="472"/>
      <c r="AC123" s="472"/>
      <c r="AD123" s="472"/>
      <c r="AE123" s="472"/>
    </row>
    <row r="124" spans="1:31" s="14431" customFormat="1" ht="11.25" customHeight="1">
      <c r="A124" s="876"/>
      <c r="B124" s="1499"/>
      <c r="C124" s="1499"/>
      <c r="D124" s="267"/>
      <c r="K124" s="1041"/>
      <c r="L124" s="1499"/>
      <c r="M124" s="1499"/>
      <c r="N124" s="1041"/>
      <c r="O124" s="1041"/>
      <c r="P124" s="1041"/>
      <c r="Q124" s="1041"/>
      <c r="R124" s="1499"/>
      <c r="S124" s="1041"/>
      <c r="T124" s="1041"/>
      <c r="U124" s="450"/>
      <c r="V124" s="1041"/>
      <c r="W124" s="1041"/>
      <c r="X124" s="1041"/>
      <c r="Y124" s="1041"/>
      <c r="Z124" s="1041"/>
      <c r="AA124" s="1495"/>
      <c r="AB124" s="472"/>
      <c r="AC124" s="472"/>
      <c r="AD124" s="472"/>
      <c r="AE124" s="472"/>
    </row>
    <row r="125" spans="1:31" s="14431" customFormat="1" ht="11.25" customHeight="1">
      <c r="A125" s="876"/>
      <c r="B125" s="1499"/>
      <c r="C125" s="1499"/>
      <c r="D125" s="267"/>
      <c r="K125" s="1041"/>
      <c r="L125" s="1499"/>
      <c r="M125" s="1499"/>
      <c r="N125" s="1041"/>
      <c r="O125" s="1041"/>
      <c r="P125" s="1041"/>
      <c r="Q125" s="1041"/>
      <c r="R125" s="1499"/>
      <c r="S125" s="1041"/>
      <c r="T125" s="1041"/>
      <c r="U125" s="450"/>
      <c r="V125" s="1041"/>
      <c r="W125" s="1041"/>
      <c r="X125" s="1041"/>
      <c r="Y125" s="1041"/>
      <c r="Z125" s="1041"/>
      <c r="AA125" s="1495"/>
      <c r="AB125" s="472"/>
      <c r="AC125" s="472"/>
      <c r="AD125" s="472"/>
      <c r="AE125" s="472"/>
    </row>
    <row r="126" spans="1:31" s="14431" customFormat="1" ht="11.25" customHeight="1">
      <c r="A126" s="876"/>
      <c r="B126" s="1499"/>
      <c r="C126" s="1499"/>
      <c r="D126" s="267"/>
      <c r="K126" s="1041"/>
      <c r="L126" s="1499"/>
      <c r="M126" s="1499"/>
      <c r="N126" s="1041"/>
      <c r="O126" s="1041"/>
      <c r="P126" s="1041"/>
      <c r="Q126" s="1041"/>
      <c r="R126" s="1499"/>
      <c r="S126" s="1041"/>
      <c r="T126" s="1041"/>
      <c r="U126" s="450"/>
      <c r="V126" s="1041"/>
      <c r="W126" s="1041"/>
      <c r="X126" s="1041"/>
      <c r="Y126" s="1041"/>
      <c r="Z126" s="1041"/>
      <c r="AA126" s="1495"/>
      <c r="AB126" s="472"/>
      <c r="AC126" s="472"/>
      <c r="AD126" s="472"/>
      <c r="AE126" s="472"/>
    </row>
    <row r="127" spans="1:31" s="14431" customFormat="1" ht="11.25" customHeight="1">
      <c r="A127" s="876"/>
      <c r="B127" s="1499"/>
      <c r="C127" s="1499"/>
      <c r="D127" s="267"/>
      <c r="K127" s="1041"/>
      <c r="L127" s="1499"/>
      <c r="M127" s="1499"/>
      <c r="N127" s="1041"/>
      <c r="O127" s="1041"/>
      <c r="P127" s="1041"/>
      <c r="Q127" s="1041"/>
      <c r="R127" s="1499"/>
      <c r="S127" s="1041"/>
      <c r="T127" s="1041"/>
      <c r="U127" s="450"/>
      <c r="V127" s="1041"/>
      <c r="W127" s="1041"/>
      <c r="X127" s="1041"/>
      <c r="Y127" s="1041"/>
      <c r="Z127" s="1041"/>
      <c r="AA127" s="1495"/>
      <c r="AB127" s="472"/>
      <c r="AC127" s="472"/>
      <c r="AD127" s="472"/>
      <c r="AE127" s="472"/>
    </row>
    <row r="128" spans="1:31" s="14431" customFormat="1" ht="11.25" customHeight="1">
      <c r="A128" s="876"/>
      <c r="B128" s="1499"/>
      <c r="C128" s="1499"/>
      <c r="D128" s="267"/>
      <c r="K128" s="1041"/>
      <c r="L128" s="1499"/>
      <c r="M128" s="1499"/>
      <c r="N128" s="1041"/>
      <c r="O128" s="1041"/>
      <c r="P128" s="1041"/>
      <c r="Q128" s="1041"/>
      <c r="R128" s="1499"/>
      <c r="S128" s="1041"/>
      <c r="T128" s="1041"/>
      <c r="U128" s="450"/>
      <c r="V128" s="1041"/>
      <c r="W128" s="1041"/>
      <c r="X128" s="1041"/>
      <c r="Y128" s="1041"/>
      <c r="Z128" s="1041"/>
      <c r="AA128" s="1495"/>
      <c r="AB128" s="472"/>
      <c r="AC128" s="472"/>
      <c r="AD128" s="472"/>
      <c r="AE128" s="472"/>
    </row>
    <row r="129" spans="1:31" s="14431" customFormat="1" ht="11.25" customHeight="1">
      <c r="A129" s="876"/>
      <c r="B129" s="1499"/>
      <c r="C129" s="1499"/>
      <c r="D129" s="267"/>
      <c r="K129" s="1041"/>
      <c r="L129" s="1499"/>
      <c r="M129" s="1499"/>
      <c r="N129" s="1041"/>
      <c r="O129" s="1041"/>
      <c r="P129" s="1041"/>
      <c r="Q129" s="1041"/>
      <c r="R129" s="1499"/>
      <c r="S129" s="1041"/>
      <c r="T129" s="1041"/>
      <c r="U129" s="450"/>
      <c r="V129" s="1041"/>
      <c r="W129" s="1041"/>
      <c r="X129" s="1041"/>
      <c r="Y129" s="1041"/>
      <c r="Z129" s="1041"/>
      <c r="AA129" s="1495"/>
      <c r="AB129" s="472"/>
      <c r="AC129" s="472"/>
      <c r="AD129" s="472"/>
      <c r="AE129" s="472"/>
    </row>
    <row r="130" spans="1:31" s="14431" customFormat="1" ht="11.25" customHeight="1">
      <c r="A130" s="876"/>
      <c r="B130" s="1499"/>
      <c r="C130" s="1499"/>
      <c r="D130" s="267"/>
      <c r="K130" s="1041"/>
      <c r="L130" s="1499"/>
      <c r="M130" s="1499"/>
      <c r="N130" s="1041"/>
      <c r="O130" s="1041"/>
      <c r="P130" s="1041"/>
      <c r="Q130" s="1041"/>
      <c r="R130" s="1499"/>
      <c r="S130" s="1041"/>
      <c r="T130" s="1041"/>
      <c r="U130" s="450"/>
      <c r="V130" s="1041"/>
      <c r="W130" s="1041"/>
      <c r="X130" s="1041"/>
      <c r="Y130" s="1041"/>
      <c r="Z130" s="1041"/>
      <c r="AA130" s="1495"/>
      <c r="AB130" s="472"/>
      <c r="AC130" s="472"/>
      <c r="AD130" s="472"/>
      <c r="AE130" s="472"/>
    </row>
    <row r="131" spans="1:31" s="14431" customFormat="1" ht="11.25" customHeight="1">
      <c r="A131" s="876"/>
      <c r="B131" s="1499"/>
      <c r="C131" s="1499"/>
      <c r="D131" s="267"/>
      <c r="K131" s="1041"/>
      <c r="L131" s="1499"/>
      <c r="M131" s="1499"/>
      <c r="N131" s="1041"/>
      <c r="O131" s="1041"/>
      <c r="P131" s="1041"/>
      <c r="Q131" s="1041"/>
      <c r="R131" s="1499"/>
      <c r="S131" s="1041"/>
      <c r="T131" s="1041"/>
      <c r="U131" s="450"/>
      <c r="V131" s="1041"/>
      <c r="W131" s="1041"/>
      <c r="X131" s="1041"/>
      <c r="Y131" s="1041"/>
      <c r="Z131" s="1041"/>
      <c r="AA131" s="1495"/>
      <c r="AB131" s="472"/>
      <c r="AC131" s="472"/>
      <c r="AD131" s="472"/>
      <c r="AE131" s="472"/>
    </row>
    <row r="132" spans="1:31" s="14431" customFormat="1" ht="11.25" customHeight="1">
      <c r="A132" s="876"/>
      <c r="B132" s="1499"/>
      <c r="C132" s="1499"/>
      <c r="D132" s="267"/>
      <c r="K132" s="1041"/>
      <c r="L132" s="1499"/>
      <c r="M132" s="1499"/>
      <c r="N132" s="1041"/>
      <c r="O132" s="1041"/>
      <c r="P132" s="1041"/>
      <c r="Q132" s="1041"/>
      <c r="R132" s="1499"/>
      <c r="S132" s="1041"/>
      <c r="T132" s="1041"/>
      <c r="U132" s="450"/>
      <c r="V132" s="1041"/>
      <c r="W132" s="1041"/>
      <c r="X132" s="1041"/>
      <c r="Y132" s="1041"/>
      <c r="Z132" s="1041"/>
      <c r="AA132" s="1495"/>
      <c r="AB132" s="472"/>
      <c r="AC132" s="472"/>
      <c r="AD132" s="472"/>
      <c r="AE132" s="472"/>
    </row>
    <row r="133" spans="1:31" s="14431" customFormat="1" ht="11.25" customHeight="1">
      <c r="A133" s="876"/>
      <c r="B133" s="1499"/>
      <c r="C133" s="1499"/>
      <c r="D133" s="267"/>
      <c r="K133" s="1041"/>
      <c r="L133" s="1499"/>
      <c r="M133" s="1499"/>
      <c r="N133" s="1041"/>
      <c r="O133" s="1041"/>
      <c r="P133" s="1041"/>
      <c r="Q133" s="1041"/>
      <c r="R133" s="1499"/>
      <c r="S133" s="1041"/>
      <c r="T133" s="1041"/>
      <c r="U133" s="450"/>
      <c r="V133" s="1041"/>
      <c r="W133" s="1041"/>
      <c r="X133" s="1041"/>
      <c r="Y133" s="1041"/>
      <c r="Z133" s="1041"/>
      <c r="AA133" s="1495"/>
      <c r="AB133" s="472"/>
      <c r="AC133" s="472"/>
      <c r="AD133" s="472"/>
      <c r="AE133" s="472"/>
    </row>
    <row r="134" spans="1:31" s="14431" customFormat="1" ht="11.25" customHeight="1">
      <c r="A134" s="876"/>
      <c r="B134" s="1499"/>
      <c r="C134" s="1499"/>
      <c r="D134" s="267"/>
      <c r="K134" s="1041"/>
      <c r="L134" s="1499"/>
      <c r="M134" s="1499"/>
      <c r="N134" s="1041"/>
      <c r="O134" s="1041"/>
      <c r="P134" s="1041"/>
      <c r="Q134" s="1041"/>
      <c r="R134" s="1499"/>
      <c r="S134" s="1041"/>
      <c r="T134" s="1041"/>
      <c r="U134" s="450"/>
      <c r="V134" s="1041"/>
      <c r="W134" s="1041"/>
      <c r="X134" s="1041"/>
      <c r="Y134" s="1041"/>
      <c r="Z134" s="1041"/>
      <c r="AA134" s="1495"/>
      <c r="AB134" s="472"/>
      <c r="AC134" s="472"/>
      <c r="AD134" s="472"/>
      <c r="AE134" s="472"/>
    </row>
    <row r="135" spans="1:31" s="14431" customFormat="1" ht="11.25" customHeight="1">
      <c r="A135" s="876"/>
      <c r="B135" s="1499"/>
      <c r="C135" s="1499"/>
      <c r="D135" s="267"/>
      <c r="K135" s="1041"/>
      <c r="L135" s="1499"/>
      <c r="M135" s="1499"/>
      <c r="N135" s="1041"/>
      <c r="O135" s="1041"/>
      <c r="P135" s="1041"/>
      <c r="Q135" s="1041"/>
      <c r="R135" s="1499"/>
      <c r="S135" s="1041"/>
      <c r="T135" s="1041"/>
      <c r="U135" s="450"/>
      <c r="V135" s="1041"/>
      <c r="W135" s="1041"/>
      <c r="X135" s="1041"/>
      <c r="Y135" s="1041"/>
      <c r="Z135" s="1041"/>
      <c r="AA135" s="1495"/>
      <c r="AB135" s="472"/>
      <c r="AC135" s="472"/>
      <c r="AD135" s="472"/>
      <c r="AE135" s="472"/>
    </row>
    <row r="136" spans="1:31" s="14431" customFormat="1" ht="11.25" customHeight="1">
      <c r="A136" s="876"/>
      <c r="B136" s="1499"/>
      <c r="C136" s="1499"/>
      <c r="D136" s="267"/>
      <c r="K136" s="1041"/>
      <c r="L136" s="1499"/>
      <c r="M136" s="1499"/>
      <c r="N136" s="1041"/>
      <c r="O136" s="1041"/>
      <c r="P136" s="1041"/>
      <c r="Q136" s="1041"/>
      <c r="R136" s="1499"/>
      <c r="S136" s="1041"/>
      <c r="T136" s="1041"/>
      <c r="U136" s="450"/>
      <c r="V136" s="1041"/>
      <c r="W136" s="1041"/>
      <c r="X136" s="1041"/>
      <c r="Y136" s="1041"/>
      <c r="Z136" s="1041"/>
      <c r="AA136" s="1495"/>
      <c r="AB136" s="472"/>
      <c r="AC136" s="472"/>
      <c r="AD136" s="472"/>
      <c r="AE136" s="472"/>
    </row>
    <row r="137" spans="1:31" s="14431" customFormat="1" ht="11.25" customHeight="1">
      <c r="A137" s="876"/>
      <c r="B137" s="1499"/>
      <c r="C137" s="1499"/>
      <c r="D137" s="267"/>
      <c r="K137" s="1041"/>
      <c r="L137" s="1499"/>
      <c r="M137" s="1499"/>
      <c r="N137" s="1041"/>
      <c r="O137" s="1041"/>
      <c r="P137" s="1041"/>
      <c r="Q137" s="1041"/>
      <c r="R137" s="1499"/>
      <c r="S137" s="1041"/>
      <c r="T137" s="1041"/>
      <c r="U137" s="450"/>
      <c r="V137" s="1041"/>
      <c r="W137" s="1041"/>
      <c r="X137" s="1041"/>
      <c r="Y137" s="1041"/>
      <c r="Z137" s="1041"/>
      <c r="AA137" s="1495"/>
      <c r="AB137" s="472"/>
      <c r="AC137" s="472"/>
      <c r="AD137" s="472"/>
      <c r="AE137" s="472"/>
    </row>
    <row r="138" spans="1:31" s="14431" customFormat="1" ht="11.25" customHeight="1">
      <c r="A138" s="876"/>
      <c r="B138" s="1499"/>
      <c r="C138" s="1499"/>
      <c r="D138" s="267"/>
      <c r="K138" s="1041"/>
      <c r="L138" s="1499"/>
      <c r="M138" s="1499"/>
      <c r="N138" s="1041"/>
      <c r="O138" s="1041"/>
      <c r="P138" s="1041"/>
      <c r="Q138" s="1041"/>
      <c r="R138" s="1499"/>
      <c r="S138" s="1041"/>
      <c r="T138" s="1041"/>
      <c r="U138" s="450"/>
      <c r="V138" s="1041"/>
      <c r="W138" s="1041"/>
      <c r="X138" s="1041"/>
      <c r="Y138" s="1041"/>
      <c r="Z138" s="1041"/>
      <c r="AA138" s="1495"/>
      <c r="AB138" s="472"/>
      <c r="AC138" s="472"/>
      <c r="AD138" s="472"/>
      <c r="AE138" s="472"/>
    </row>
    <row r="139" spans="1:31" s="14431" customFormat="1" ht="11.25" customHeight="1">
      <c r="A139" s="876"/>
      <c r="B139" s="1499"/>
      <c r="C139" s="1499"/>
      <c r="D139" s="267"/>
      <c r="K139" s="1041"/>
      <c r="L139" s="1499"/>
      <c r="M139" s="1499"/>
      <c r="N139" s="1041"/>
      <c r="O139" s="1041"/>
      <c r="P139" s="1041"/>
      <c r="Q139" s="1041"/>
      <c r="R139" s="1499"/>
      <c r="S139" s="1041"/>
      <c r="T139" s="1041"/>
      <c r="U139" s="450"/>
      <c r="V139" s="1041"/>
      <c r="W139" s="1041"/>
      <c r="X139" s="1041"/>
      <c r="Y139" s="1041"/>
      <c r="Z139" s="1041"/>
      <c r="AA139" s="1495"/>
      <c r="AB139" s="472"/>
      <c r="AC139" s="472"/>
      <c r="AD139" s="472"/>
      <c r="AE139" s="472"/>
    </row>
    <row r="140" spans="1:31" s="14431" customFormat="1" ht="11.25" customHeight="1">
      <c r="A140" s="876"/>
      <c r="B140" s="1499"/>
      <c r="C140" s="1499"/>
      <c r="D140" s="267"/>
      <c r="K140" s="1041"/>
      <c r="L140" s="1499"/>
      <c r="M140" s="1499"/>
      <c r="N140" s="1041"/>
      <c r="O140" s="1041"/>
      <c r="P140" s="1041"/>
      <c r="Q140" s="1041"/>
      <c r="R140" s="1499"/>
      <c r="S140" s="1041"/>
      <c r="T140" s="1041"/>
      <c r="U140" s="450"/>
      <c r="V140" s="1041"/>
      <c r="W140" s="1041"/>
      <c r="X140" s="1041"/>
      <c r="Y140" s="1041"/>
      <c r="Z140" s="1041"/>
      <c r="AA140" s="1495"/>
      <c r="AB140" s="472"/>
      <c r="AC140" s="472"/>
      <c r="AD140" s="472"/>
      <c r="AE140" s="472"/>
    </row>
    <row r="141" spans="1:31" s="14431" customFormat="1" ht="11.25" customHeight="1">
      <c r="A141" s="876"/>
      <c r="B141" s="1499"/>
      <c r="C141" s="1499"/>
      <c r="D141" s="267"/>
      <c r="K141" s="1041"/>
      <c r="L141" s="1499"/>
      <c r="M141" s="1499"/>
      <c r="N141" s="1041"/>
      <c r="O141" s="1041"/>
      <c r="P141" s="1041"/>
      <c r="Q141" s="1041"/>
      <c r="R141" s="1499"/>
      <c r="S141" s="1041"/>
      <c r="T141" s="1041"/>
      <c r="U141" s="450"/>
      <c r="V141" s="1041"/>
      <c r="W141" s="1041"/>
      <c r="X141" s="1041"/>
      <c r="Y141" s="1041"/>
      <c r="Z141" s="1041"/>
      <c r="AA141" s="1495"/>
      <c r="AB141" s="472"/>
      <c r="AC141" s="472"/>
      <c r="AD141" s="472"/>
      <c r="AE141" s="472"/>
    </row>
    <row r="142" spans="1:31" s="14431" customFormat="1" ht="11.25" customHeight="1">
      <c r="A142" s="876"/>
      <c r="B142" s="1499"/>
      <c r="C142" s="1499"/>
      <c r="D142" s="267"/>
      <c r="K142" s="1041"/>
      <c r="L142" s="1499"/>
      <c r="M142" s="1499"/>
      <c r="N142" s="1041"/>
      <c r="O142" s="1041"/>
      <c r="P142" s="1041"/>
      <c r="Q142" s="1041"/>
      <c r="R142" s="1499"/>
      <c r="S142" s="1041"/>
      <c r="T142" s="1041"/>
      <c r="U142" s="450"/>
      <c r="V142" s="1041"/>
      <c r="W142" s="1041"/>
      <c r="X142" s="1041"/>
      <c r="Y142" s="1041"/>
      <c r="Z142" s="1041"/>
      <c r="AA142" s="1495"/>
      <c r="AB142" s="472"/>
      <c r="AC142" s="472"/>
      <c r="AD142" s="472"/>
      <c r="AE142" s="472"/>
    </row>
    <row r="143" spans="1:31" s="14431" customFormat="1" ht="11.25" customHeight="1">
      <c r="A143" s="876"/>
      <c r="B143" s="1499"/>
      <c r="C143" s="1499"/>
      <c r="D143" s="267"/>
      <c r="K143" s="1041"/>
      <c r="L143" s="1499"/>
      <c r="M143" s="1499"/>
      <c r="N143" s="1041"/>
      <c r="O143" s="1041"/>
      <c r="P143" s="1041"/>
      <c r="Q143" s="1041"/>
      <c r="R143" s="1499"/>
      <c r="S143" s="1041"/>
      <c r="T143" s="1041"/>
      <c r="U143" s="450"/>
      <c r="V143" s="1041"/>
      <c r="W143" s="1041"/>
      <c r="X143" s="1041"/>
      <c r="Y143" s="1041"/>
      <c r="Z143" s="1041"/>
      <c r="AA143" s="1495"/>
      <c r="AB143" s="472"/>
      <c r="AC143" s="472"/>
      <c r="AD143" s="472"/>
      <c r="AE143" s="472"/>
    </row>
    <row r="144" spans="1:31" s="14431" customFormat="1" ht="11.25" customHeight="1">
      <c r="A144" s="876"/>
      <c r="B144" s="1499"/>
      <c r="C144" s="1499"/>
      <c r="D144" s="267"/>
      <c r="K144" s="1041"/>
      <c r="L144" s="1499"/>
      <c r="M144" s="1499"/>
      <c r="N144" s="1041"/>
      <c r="O144" s="1041"/>
      <c r="P144" s="1041"/>
      <c r="Q144" s="1041"/>
      <c r="R144" s="1499"/>
      <c r="S144" s="1041"/>
      <c r="T144" s="1041"/>
      <c r="U144" s="450"/>
      <c r="V144" s="1041"/>
      <c r="W144" s="1041"/>
      <c r="X144" s="1041"/>
      <c r="Y144" s="1041"/>
      <c r="Z144" s="1041"/>
      <c r="AA144" s="1495"/>
      <c r="AB144" s="472"/>
      <c r="AC144" s="472"/>
      <c r="AD144" s="472"/>
      <c r="AE144" s="472"/>
    </row>
    <row r="145" spans="1:31" s="14431" customFormat="1" ht="11.25" customHeight="1">
      <c r="A145" s="876"/>
      <c r="B145" s="1499"/>
      <c r="C145" s="1499"/>
      <c r="D145" s="267"/>
      <c r="K145" s="1041"/>
      <c r="L145" s="1499"/>
      <c r="M145" s="1499"/>
      <c r="N145" s="1041"/>
      <c r="O145" s="1041"/>
      <c r="P145" s="1041"/>
      <c r="Q145" s="1041"/>
      <c r="R145" s="1499"/>
      <c r="S145" s="1041"/>
      <c r="T145" s="1041"/>
      <c r="U145" s="450"/>
      <c r="V145" s="1041"/>
      <c r="W145" s="1041"/>
      <c r="X145" s="1041"/>
      <c r="Y145" s="1041"/>
      <c r="Z145" s="1041"/>
      <c r="AA145" s="1495"/>
      <c r="AB145" s="472"/>
      <c r="AC145" s="472"/>
      <c r="AD145" s="472"/>
      <c r="AE145" s="472"/>
    </row>
    <row r="146" spans="1:31" s="14431" customFormat="1" ht="11.25" customHeight="1">
      <c r="A146" s="876"/>
      <c r="B146" s="1499"/>
      <c r="C146" s="1499"/>
      <c r="D146" s="267"/>
      <c r="K146" s="1041"/>
      <c r="L146" s="1499"/>
      <c r="M146" s="1499"/>
      <c r="N146" s="1041"/>
      <c r="O146" s="1041"/>
      <c r="P146" s="1041"/>
      <c r="Q146" s="1041"/>
      <c r="R146" s="1499"/>
      <c r="S146" s="1041"/>
      <c r="T146" s="1041"/>
      <c r="U146" s="450"/>
      <c r="V146" s="1041"/>
      <c r="W146" s="1041"/>
      <c r="X146" s="1041"/>
      <c r="Y146" s="1041"/>
      <c r="Z146" s="1041"/>
      <c r="AA146" s="1495"/>
      <c r="AB146" s="472"/>
      <c r="AC146" s="472"/>
      <c r="AD146" s="472"/>
      <c r="AE146" s="472"/>
    </row>
    <row r="147" spans="1:31" s="14431" customFormat="1" ht="11.25" customHeight="1">
      <c r="A147" s="876"/>
      <c r="B147" s="1499"/>
      <c r="C147" s="1499"/>
      <c r="D147" s="267"/>
      <c r="K147" s="1041"/>
      <c r="L147" s="1499"/>
      <c r="M147" s="1499"/>
      <c r="N147" s="1041"/>
      <c r="O147" s="1041"/>
      <c r="P147" s="1041"/>
      <c r="Q147" s="1041"/>
      <c r="R147" s="1499"/>
      <c r="S147" s="1041"/>
      <c r="T147" s="1041"/>
      <c r="U147" s="450"/>
      <c r="V147" s="1041"/>
      <c r="W147" s="1041"/>
      <c r="X147" s="1041"/>
      <c r="Y147" s="1041"/>
      <c r="Z147" s="1041"/>
      <c r="AA147" s="1495"/>
      <c r="AB147" s="472"/>
      <c r="AC147" s="472"/>
      <c r="AD147" s="472"/>
      <c r="AE147" s="472"/>
    </row>
    <row r="148" spans="1:31" s="14431" customFormat="1" ht="11.25" customHeight="1">
      <c r="A148" s="876"/>
      <c r="B148" s="1499"/>
      <c r="C148" s="1499"/>
      <c r="D148" s="267"/>
      <c r="K148" s="1041"/>
      <c r="L148" s="1499"/>
      <c r="M148" s="1499"/>
      <c r="N148" s="1041"/>
      <c r="O148" s="1041"/>
      <c r="P148" s="1041"/>
      <c r="Q148" s="1041"/>
      <c r="R148" s="1499"/>
      <c r="S148" s="1041"/>
      <c r="T148" s="1041"/>
      <c r="U148" s="450"/>
      <c r="V148" s="1041"/>
      <c r="W148" s="1041"/>
      <c r="X148" s="1041"/>
      <c r="Y148" s="1041"/>
      <c r="Z148" s="1041"/>
      <c r="AA148" s="1495"/>
      <c r="AB148" s="472"/>
      <c r="AC148" s="472"/>
      <c r="AD148" s="472"/>
      <c r="AE148" s="472"/>
    </row>
    <row r="149" spans="1:31" s="14431" customFormat="1" ht="11.25" customHeight="1">
      <c r="A149" s="876"/>
      <c r="B149" s="1499"/>
      <c r="C149" s="1499"/>
      <c r="D149" s="267"/>
      <c r="K149" s="1041"/>
      <c r="L149" s="1499"/>
      <c r="M149" s="1499"/>
      <c r="N149" s="1041"/>
      <c r="O149" s="1041"/>
      <c r="P149" s="1041"/>
      <c r="Q149" s="1041"/>
      <c r="R149" s="1499"/>
      <c r="S149" s="1041"/>
      <c r="T149" s="1041"/>
      <c r="U149" s="450"/>
      <c r="V149" s="1041"/>
      <c r="W149" s="1041"/>
      <c r="X149" s="1041"/>
      <c r="Y149" s="1041"/>
      <c r="Z149" s="1041"/>
      <c r="AA149" s="1495"/>
      <c r="AB149" s="472"/>
      <c r="AC149" s="472"/>
      <c r="AD149" s="472"/>
      <c r="AE149" s="472"/>
    </row>
    <row r="150" spans="1:31" s="14431" customFormat="1" ht="11.25" customHeight="1">
      <c r="A150" s="876"/>
      <c r="B150" s="1499"/>
      <c r="C150" s="1499"/>
      <c r="D150" s="267"/>
      <c r="K150" s="1041"/>
      <c r="L150" s="1499"/>
      <c r="M150" s="1499"/>
      <c r="N150" s="1041"/>
      <c r="O150" s="1041"/>
      <c r="P150" s="1041"/>
      <c r="Q150" s="1041"/>
      <c r="R150" s="1499"/>
      <c r="S150" s="1041"/>
      <c r="T150" s="1041"/>
      <c r="U150" s="450"/>
      <c r="V150" s="1041"/>
      <c r="W150" s="1041"/>
      <c r="X150" s="1041"/>
      <c r="Y150" s="1041"/>
      <c r="Z150" s="1041"/>
      <c r="AA150" s="1495"/>
      <c r="AB150" s="472"/>
      <c r="AC150" s="472"/>
      <c r="AD150" s="472"/>
      <c r="AE150" s="472"/>
    </row>
    <row r="151" spans="1:31" s="14431" customFormat="1" ht="11.25" customHeight="1">
      <c r="A151" s="876"/>
      <c r="B151" s="1499"/>
      <c r="C151" s="1499"/>
      <c r="D151" s="267"/>
      <c r="K151" s="1041"/>
      <c r="L151" s="1499"/>
      <c r="M151" s="1499"/>
      <c r="N151" s="1041"/>
      <c r="O151" s="1041"/>
      <c r="P151" s="1041"/>
      <c r="Q151" s="1041"/>
      <c r="R151" s="1499"/>
      <c r="S151" s="1041"/>
      <c r="T151" s="1041"/>
      <c r="U151" s="450"/>
      <c r="V151" s="1041"/>
      <c r="W151" s="1041"/>
      <c r="X151" s="1041"/>
      <c r="Y151" s="1041"/>
      <c r="Z151" s="1041"/>
      <c r="AA151" s="1495"/>
      <c r="AB151" s="472"/>
      <c r="AC151" s="472"/>
      <c r="AD151" s="472"/>
      <c r="AE151" s="472"/>
    </row>
    <row r="152" spans="1:31" s="14431" customFormat="1" ht="11.25" customHeight="1">
      <c r="A152" s="876"/>
      <c r="B152" s="1499"/>
      <c r="C152" s="1499"/>
      <c r="D152" s="267"/>
      <c r="K152" s="1041"/>
      <c r="L152" s="1499"/>
      <c r="M152" s="1499"/>
      <c r="N152" s="1041"/>
      <c r="O152" s="1041"/>
      <c r="P152" s="1041"/>
      <c r="Q152" s="1041"/>
      <c r="R152" s="1499"/>
      <c r="S152" s="1041"/>
      <c r="T152" s="1041"/>
      <c r="U152" s="450"/>
      <c r="V152" s="1041"/>
      <c r="W152" s="1041"/>
      <c r="X152" s="1041"/>
      <c r="Y152" s="1041"/>
      <c r="Z152" s="1041"/>
      <c r="AA152" s="1495"/>
      <c r="AB152" s="472"/>
      <c r="AC152" s="472"/>
      <c r="AD152" s="472"/>
      <c r="AE152" s="472"/>
    </row>
    <row r="153" spans="1:31" s="14431" customFormat="1" ht="11.25" customHeight="1">
      <c r="A153" s="876"/>
      <c r="B153" s="1499"/>
      <c r="C153" s="1499"/>
      <c r="D153" s="267"/>
      <c r="K153" s="1041"/>
      <c r="L153" s="1499"/>
      <c r="M153" s="1499"/>
      <c r="N153" s="1041"/>
      <c r="O153" s="1041"/>
      <c r="P153" s="1041"/>
      <c r="Q153" s="1041"/>
      <c r="R153" s="1499"/>
      <c r="S153" s="1041"/>
      <c r="T153" s="1041"/>
      <c r="U153" s="450"/>
      <c r="V153" s="1041"/>
      <c r="W153" s="1041"/>
      <c r="X153" s="1041"/>
      <c r="Y153" s="1041"/>
      <c r="Z153" s="1041"/>
      <c r="AA153" s="1495"/>
      <c r="AB153" s="472"/>
      <c r="AC153" s="472"/>
      <c r="AD153" s="472"/>
      <c r="AE153" s="472"/>
    </row>
    <row r="154" spans="1:31" s="14431" customFormat="1" ht="11.25" customHeight="1">
      <c r="A154" s="876"/>
      <c r="B154" s="1499"/>
      <c r="C154" s="1499"/>
      <c r="D154" s="267"/>
      <c r="K154" s="1041"/>
      <c r="L154" s="1499"/>
      <c r="M154" s="1499"/>
      <c r="N154" s="1041"/>
      <c r="O154" s="1041"/>
      <c r="P154" s="1041"/>
      <c r="Q154" s="1041"/>
      <c r="R154" s="1499"/>
      <c r="S154" s="1041"/>
      <c r="T154" s="1041"/>
      <c r="U154" s="450"/>
      <c r="V154" s="1041"/>
      <c r="W154" s="1041"/>
      <c r="X154" s="1041"/>
      <c r="Y154" s="1041"/>
      <c r="Z154" s="1041"/>
      <c r="AA154" s="1495"/>
      <c r="AB154" s="472"/>
      <c r="AC154" s="472"/>
      <c r="AD154" s="472"/>
      <c r="AE154" s="472"/>
    </row>
    <row r="155" spans="1:31" s="14431" customFormat="1" ht="11.25" customHeight="1">
      <c r="A155" s="876"/>
      <c r="B155" s="1499"/>
      <c r="C155" s="1499"/>
      <c r="D155" s="267"/>
      <c r="K155" s="1041"/>
      <c r="L155" s="1499"/>
      <c r="M155" s="1499"/>
      <c r="N155" s="1041"/>
      <c r="O155" s="1041"/>
      <c r="P155" s="1041"/>
      <c r="Q155" s="1041"/>
      <c r="R155" s="1499"/>
      <c r="S155" s="1041"/>
      <c r="T155" s="1041"/>
      <c r="U155" s="450"/>
      <c r="V155" s="1041"/>
      <c r="W155" s="1041"/>
      <c r="X155" s="1041"/>
      <c r="Y155" s="1041"/>
      <c r="Z155" s="1041"/>
      <c r="AA155" s="1495"/>
      <c r="AB155" s="472"/>
      <c r="AC155" s="472"/>
      <c r="AD155" s="472"/>
      <c r="AE155" s="472"/>
    </row>
    <row r="156" spans="1:31" s="14431" customFormat="1" ht="11.25" customHeight="1">
      <c r="A156" s="876"/>
      <c r="B156" s="1499"/>
      <c r="C156" s="1499"/>
      <c r="D156" s="267"/>
      <c r="K156" s="1041"/>
      <c r="L156" s="1499"/>
      <c r="M156" s="1499"/>
      <c r="N156" s="1041"/>
      <c r="O156" s="1041"/>
      <c r="P156" s="1041"/>
      <c r="Q156" s="1041"/>
      <c r="R156" s="1499"/>
      <c r="S156" s="1041"/>
      <c r="T156" s="1041"/>
      <c r="U156" s="450"/>
      <c r="V156" s="1041"/>
      <c r="W156" s="1041"/>
      <c r="X156" s="1041"/>
      <c r="Y156" s="1041"/>
      <c r="Z156" s="1041"/>
      <c r="AA156" s="1495"/>
      <c r="AB156" s="472"/>
      <c r="AC156" s="472"/>
      <c r="AD156" s="472"/>
      <c r="AE156" s="472"/>
    </row>
    <row r="157" spans="1:31" s="14431" customFormat="1" ht="11.25" customHeight="1">
      <c r="A157" s="876"/>
      <c r="B157" s="1499"/>
      <c r="C157" s="1499"/>
      <c r="D157" s="267"/>
      <c r="K157" s="1041"/>
      <c r="L157" s="1499"/>
      <c r="M157" s="1499"/>
      <c r="N157" s="1041"/>
      <c r="O157" s="1041"/>
      <c r="P157" s="1041"/>
      <c r="Q157" s="1041"/>
      <c r="R157" s="1499"/>
      <c r="S157" s="1041"/>
      <c r="T157" s="1041"/>
      <c r="U157" s="450"/>
      <c r="V157" s="1041"/>
      <c r="W157" s="1041"/>
      <c r="X157" s="1041"/>
      <c r="Y157" s="1041"/>
      <c r="Z157" s="1041"/>
      <c r="AA157" s="1495"/>
      <c r="AB157" s="472"/>
      <c r="AC157" s="472"/>
      <c r="AD157" s="472"/>
      <c r="AE157" s="472"/>
    </row>
    <row r="158" spans="1:31" s="14431" customFormat="1" ht="11.25" customHeight="1">
      <c r="A158" s="876"/>
      <c r="B158" s="1499"/>
      <c r="C158" s="1499"/>
      <c r="D158" s="267"/>
      <c r="K158" s="1041"/>
      <c r="L158" s="1499"/>
      <c r="M158" s="1499"/>
      <c r="N158" s="1041"/>
      <c r="O158" s="1041"/>
      <c r="P158" s="1041"/>
      <c r="Q158" s="1041"/>
      <c r="R158" s="1499"/>
      <c r="S158" s="1041"/>
      <c r="T158" s="1041"/>
      <c r="U158" s="450"/>
      <c r="V158" s="1041"/>
      <c r="W158" s="1041"/>
      <c r="X158" s="1041"/>
      <c r="Y158" s="1041"/>
      <c r="Z158" s="1041"/>
      <c r="AA158" s="1495"/>
      <c r="AB158" s="472"/>
      <c r="AC158" s="472"/>
      <c r="AD158" s="472"/>
      <c r="AE158" s="472"/>
    </row>
    <row r="159" spans="1:31" s="14431" customFormat="1" ht="11.25" customHeight="1">
      <c r="A159" s="876"/>
      <c r="B159" s="1499"/>
      <c r="C159" s="1499"/>
      <c r="D159" s="267"/>
      <c r="K159" s="1041"/>
      <c r="L159" s="1499"/>
      <c r="M159" s="1499"/>
      <c r="N159" s="1041"/>
      <c r="O159" s="1041"/>
      <c r="P159" s="1041"/>
      <c r="Q159" s="1041"/>
      <c r="R159" s="1499"/>
      <c r="S159" s="1041"/>
      <c r="T159" s="1041"/>
      <c r="U159" s="450"/>
      <c r="V159" s="1041"/>
      <c r="W159" s="1041"/>
      <c r="X159" s="1041"/>
      <c r="Y159" s="1041"/>
      <c r="Z159" s="1041"/>
      <c r="AA159" s="1495"/>
      <c r="AB159" s="472"/>
      <c r="AC159" s="472"/>
      <c r="AD159" s="472"/>
      <c r="AE159" s="472"/>
    </row>
    <row r="160" spans="1:31" s="14431" customFormat="1" ht="11.25" customHeight="1">
      <c r="A160" s="876"/>
      <c r="B160" s="1499"/>
      <c r="C160" s="1499"/>
      <c r="D160" s="267"/>
      <c r="K160" s="1041"/>
      <c r="L160" s="1499"/>
      <c r="M160" s="1499"/>
      <c r="N160" s="1041"/>
      <c r="O160" s="1041"/>
      <c r="P160" s="1041"/>
      <c r="Q160" s="1041"/>
      <c r="R160" s="1499"/>
      <c r="S160" s="1041"/>
      <c r="T160" s="1041"/>
      <c r="U160" s="450"/>
      <c r="V160" s="1041"/>
      <c r="W160" s="1041"/>
      <c r="X160" s="1041"/>
      <c r="Y160" s="1041"/>
      <c r="Z160" s="1041"/>
      <c r="AA160" s="1495"/>
      <c r="AB160" s="472"/>
      <c r="AC160" s="472"/>
      <c r="AD160" s="472"/>
      <c r="AE160" s="472"/>
    </row>
    <row r="161" spans="1:31" s="14431" customFormat="1" ht="11.25" customHeight="1">
      <c r="A161" s="876"/>
      <c r="B161" s="1499"/>
      <c r="C161" s="1499"/>
      <c r="D161" s="267"/>
      <c r="K161" s="1041"/>
      <c r="L161" s="1499"/>
      <c r="M161" s="1499"/>
      <c r="N161" s="1041"/>
      <c r="O161" s="1041"/>
      <c r="P161" s="1041"/>
      <c r="Q161" s="1041"/>
      <c r="R161" s="1499"/>
      <c r="S161" s="1041"/>
      <c r="T161" s="1041"/>
      <c r="U161" s="450"/>
      <c r="V161" s="1041"/>
      <c r="W161" s="1041"/>
      <c r="X161" s="1041"/>
      <c r="Y161" s="1041"/>
      <c r="Z161" s="1041"/>
      <c r="AA161" s="1495"/>
      <c r="AB161" s="472"/>
      <c r="AC161" s="472"/>
      <c r="AD161" s="472"/>
      <c r="AE161" s="472"/>
    </row>
    <row r="162" spans="1:31" s="14431" customFormat="1" ht="11.25" customHeight="1">
      <c r="A162" s="876"/>
      <c r="B162" s="1499"/>
      <c r="C162" s="1499"/>
      <c r="D162" s="267"/>
      <c r="K162" s="1041"/>
      <c r="L162" s="1499"/>
      <c r="M162" s="1499"/>
      <c r="N162" s="1041"/>
      <c r="O162" s="1041"/>
      <c r="P162" s="1041"/>
      <c r="Q162" s="1041"/>
      <c r="R162" s="1499"/>
      <c r="S162" s="1041"/>
      <c r="T162" s="1041"/>
      <c r="U162" s="450"/>
      <c r="V162" s="1041"/>
      <c r="W162" s="1041"/>
      <c r="X162" s="1041"/>
      <c r="Y162" s="1041"/>
      <c r="Z162" s="1041"/>
      <c r="AA162" s="1495"/>
      <c r="AB162" s="472"/>
      <c r="AC162" s="472"/>
      <c r="AD162" s="472"/>
      <c r="AE162" s="472"/>
    </row>
    <row r="163" spans="1:31" s="14431" customFormat="1" ht="11.25" customHeight="1">
      <c r="A163" s="876"/>
      <c r="B163" s="1499"/>
      <c r="C163" s="1499"/>
      <c r="D163" s="267"/>
      <c r="K163" s="1041"/>
      <c r="L163" s="1499"/>
      <c r="M163" s="1499"/>
      <c r="N163" s="1041"/>
      <c r="O163" s="1041"/>
      <c r="P163" s="1041"/>
      <c r="Q163" s="1041"/>
      <c r="R163" s="1499"/>
      <c r="S163" s="1041"/>
      <c r="T163" s="1041"/>
      <c r="U163" s="450"/>
      <c r="V163" s="1041"/>
      <c r="W163" s="1041"/>
      <c r="X163" s="1041"/>
      <c r="Y163" s="1041"/>
      <c r="Z163" s="1041"/>
      <c r="AA163" s="1495"/>
      <c r="AB163" s="472"/>
      <c r="AC163" s="472"/>
      <c r="AD163" s="472"/>
      <c r="AE163" s="472"/>
    </row>
    <row r="164" spans="1:31" s="14431" customFormat="1" ht="11.25" customHeight="1">
      <c r="A164" s="876"/>
      <c r="B164" s="1499"/>
      <c r="C164" s="1499"/>
      <c r="D164" s="267"/>
      <c r="K164" s="1041"/>
      <c r="L164" s="1499"/>
      <c r="M164" s="1499"/>
      <c r="N164" s="1041"/>
      <c r="O164" s="1041"/>
      <c r="P164" s="1041"/>
      <c r="Q164" s="1041"/>
      <c r="R164" s="1499"/>
      <c r="S164" s="1041"/>
      <c r="T164" s="1041"/>
      <c r="U164" s="450"/>
      <c r="V164" s="1041"/>
      <c r="W164" s="1041"/>
      <c r="X164" s="1041"/>
      <c r="Y164" s="1041"/>
      <c r="Z164" s="1041"/>
      <c r="AA164" s="1495"/>
      <c r="AB164" s="472"/>
      <c r="AC164" s="472"/>
      <c r="AD164" s="472"/>
      <c r="AE164" s="472"/>
    </row>
    <row r="165" spans="1:31" s="14431" customFormat="1" ht="11.25" customHeight="1">
      <c r="A165" s="876"/>
      <c r="B165" s="1499"/>
      <c r="C165" s="1499"/>
      <c r="D165" s="267"/>
      <c r="K165" s="1041"/>
      <c r="L165" s="1499"/>
      <c r="M165" s="1499"/>
      <c r="N165" s="1041"/>
      <c r="O165" s="1041"/>
      <c r="P165" s="1041"/>
      <c r="Q165" s="1041"/>
      <c r="R165" s="1499"/>
      <c r="S165" s="1041"/>
      <c r="T165" s="1041"/>
      <c r="U165" s="450"/>
      <c r="V165" s="1041"/>
      <c r="W165" s="1041"/>
      <c r="X165" s="1041"/>
      <c r="Y165" s="1041"/>
      <c r="Z165" s="1041"/>
      <c r="AA165" s="1495"/>
      <c r="AB165" s="472"/>
      <c r="AC165" s="472"/>
      <c r="AD165" s="472"/>
      <c r="AE165" s="472"/>
    </row>
    <row r="166" spans="1:31" s="14431" customFormat="1" ht="11.25" customHeight="1">
      <c r="A166" s="876"/>
      <c r="B166" s="1499"/>
      <c r="C166" s="1499"/>
      <c r="D166" s="267"/>
      <c r="K166" s="1041"/>
      <c r="L166" s="1499"/>
      <c r="M166" s="1499"/>
      <c r="N166" s="1041"/>
      <c r="O166" s="1041"/>
      <c r="P166" s="1041"/>
      <c r="Q166" s="1041"/>
      <c r="R166" s="1499"/>
      <c r="S166" s="1041"/>
      <c r="T166" s="1041"/>
      <c r="U166" s="450"/>
      <c r="V166" s="1041"/>
      <c r="W166" s="1041"/>
      <c r="X166" s="1041"/>
      <c r="Y166" s="1041"/>
      <c r="Z166" s="1041"/>
      <c r="AA166" s="1495"/>
      <c r="AB166" s="472"/>
      <c r="AC166" s="472"/>
      <c r="AD166" s="472"/>
      <c r="AE166" s="472"/>
    </row>
    <row r="167" spans="1:31" s="14431" customFormat="1" ht="11.25" customHeight="1">
      <c r="A167" s="876"/>
      <c r="B167" s="1499"/>
      <c r="C167" s="1499"/>
      <c r="D167" s="267"/>
      <c r="K167" s="1041"/>
      <c r="L167" s="1499"/>
      <c r="M167" s="1499"/>
      <c r="N167" s="1041"/>
      <c r="O167" s="1041"/>
      <c r="P167" s="1041"/>
      <c r="Q167" s="1041"/>
      <c r="R167" s="1499"/>
      <c r="S167" s="1041"/>
      <c r="T167" s="1041"/>
      <c r="U167" s="450"/>
      <c r="V167" s="1041"/>
      <c r="W167" s="1041"/>
      <c r="X167" s="1041"/>
      <c r="Y167" s="1041"/>
      <c r="Z167" s="1041"/>
      <c r="AA167" s="1495"/>
      <c r="AB167" s="472"/>
      <c r="AC167" s="472"/>
      <c r="AD167" s="472"/>
      <c r="AE167" s="472"/>
    </row>
    <row r="168" spans="1:31" s="14431" customFormat="1" ht="11.25" customHeight="1">
      <c r="A168" s="876"/>
      <c r="B168" s="1499"/>
      <c r="C168" s="1499"/>
      <c r="D168" s="267"/>
      <c r="K168" s="1041"/>
      <c r="L168" s="1499"/>
      <c r="M168" s="1499"/>
      <c r="N168" s="1041"/>
      <c r="O168" s="1041"/>
      <c r="P168" s="1041"/>
      <c r="Q168" s="1041"/>
      <c r="R168" s="1499"/>
      <c r="S168" s="1041"/>
      <c r="T168" s="1041"/>
      <c r="U168" s="450"/>
      <c r="V168" s="1041"/>
      <c r="W168" s="1041"/>
      <c r="X168" s="1041"/>
      <c r="Y168" s="1041"/>
      <c r="Z168" s="1041"/>
      <c r="AA168" s="1495"/>
      <c r="AB168" s="472"/>
      <c r="AC168" s="472"/>
      <c r="AD168" s="472"/>
      <c r="AE168" s="472"/>
    </row>
    <row r="169" spans="1:31" s="14431" customFormat="1" ht="11.25" customHeight="1">
      <c r="A169" s="876"/>
      <c r="B169" s="1499"/>
      <c r="C169" s="1499"/>
      <c r="D169" s="267"/>
      <c r="K169" s="1041"/>
      <c r="L169" s="1499"/>
      <c r="M169" s="1499"/>
      <c r="N169" s="1041"/>
      <c r="O169" s="1041"/>
      <c r="P169" s="1041"/>
      <c r="Q169" s="1041"/>
      <c r="R169" s="1499"/>
      <c r="S169" s="1041"/>
      <c r="T169" s="1041"/>
      <c r="U169" s="450"/>
      <c r="V169" s="1041"/>
      <c r="W169" s="1041"/>
      <c r="X169" s="1041"/>
      <c r="Y169" s="1041"/>
      <c r="Z169" s="1041"/>
      <c r="AA169" s="1495"/>
      <c r="AB169" s="472"/>
      <c r="AC169" s="472"/>
      <c r="AD169" s="472"/>
      <c r="AE169" s="472"/>
    </row>
    <row r="170" spans="1:31" s="14431" customFormat="1" ht="11.25" customHeight="1">
      <c r="A170" s="876"/>
      <c r="B170" s="1499"/>
      <c r="C170" s="1499"/>
      <c r="D170" s="267"/>
      <c r="K170" s="1041"/>
      <c r="L170" s="1499"/>
      <c r="M170" s="1499"/>
      <c r="N170" s="1041"/>
      <c r="O170" s="1041"/>
      <c r="P170" s="1041"/>
      <c r="Q170" s="1041"/>
      <c r="R170" s="1499"/>
      <c r="S170" s="1041"/>
      <c r="T170" s="1041"/>
      <c r="U170" s="450"/>
      <c r="V170" s="1041"/>
      <c r="W170" s="1041"/>
      <c r="X170" s="1041"/>
      <c r="Y170" s="1041"/>
      <c r="Z170" s="1041"/>
      <c r="AA170" s="1495"/>
      <c r="AB170" s="472"/>
      <c r="AC170" s="472"/>
      <c r="AD170" s="472"/>
      <c r="AE170" s="472"/>
    </row>
    <row r="171" spans="1:31" s="14431" customFormat="1" ht="11.25" customHeight="1">
      <c r="A171" s="876"/>
      <c r="B171" s="1499"/>
      <c r="C171" s="1499"/>
      <c r="D171" s="267"/>
      <c r="K171" s="1041"/>
      <c r="L171" s="1499"/>
      <c r="M171" s="1499"/>
      <c r="N171" s="1041"/>
      <c r="O171" s="1041"/>
      <c r="P171" s="1041"/>
      <c r="Q171" s="1041"/>
      <c r="R171" s="1499"/>
      <c r="S171" s="1041"/>
      <c r="T171" s="1041"/>
      <c r="U171" s="450"/>
      <c r="V171" s="1041"/>
      <c r="W171" s="1041"/>
      <c r="X171" s="1041"/>
      <c r="Y171" s="1041"/>
      <c r="Z171" s="1041"/>
      <c r="AA171" s="1495"/>
      <c r="AB171" s="472"/>
      <c r="AC171" s="472"/>
      <c r="AD171" s="472"/>
      <c r="AE171" s="472"/>
    </row>
    <row r="172" spans="1:31" s="14431" customFormat="1" ht="11.25" customHeight="1">
      <c r="A172" s="876"/>
      <c r="B172" s="1499"/>
      <c r="C172" s="1499"/>
      <c r="D172" s="267"/>
      <c r="K172" s="1041"/>
      <c r="L172" s="1499"/>
      <c r="M172" s="1499"/>
      <c r="N172" s="1041"/>
      <c r="O172" s="1041"/>
      <c r="P172" s="1041"/>
      <c r="Q172" s="1041"/>
      <c r="R172" s="1499"/>
      <c r="S172" s="1041"/>
      <c r="T172" s="1041"/>
      <c r="U172" s="450"/>
      <c r="V172" s="1041"/>
      <c r="W172" s="1041"/>
      <c r="X172" s="1041"/>
      <c r="Y172" s="1041"/>
      <c r="Z172" s="1041"/>
      <c r="AA172" s="1495"/>
      <c r="AB172" s="472"/>
      <c r="AC172" s="472"/>
      <c r="AD172" s="472"/>
      <c r="AE172" s="472"/>
    </row>
    <row r="173" spans="1:31" s="14431" customFormat="1" ht="11.25" customHeight="1">
      <c r="A173" s="876"/>
      <c r="B173" s="1499"/>
      <c r="C173" s="1499"/>
      <c r="D173" s="267"/>
      <c r="K173" s="1041"/>
      <c r="L173" s="1499"/>
      <c r="M173" s="1499"/>
      <c r="N173" s="1041"/>
      <c r="O173" s="1041"/>
      <c r="P173" s="1041"/>
      <c r="Q173" s="1041"/>
      <c r="R173" s="1499"/>
      <c r="S173" s="1041"/>
      <c r="T173" s="1041"/>
      <c r="U173" s="450"/>
      <c r="V173" s="1041"/>
      <c r="W173" s="1041"/>
      <c r="X173" s="1041"/>
      <c r="Y173" s="1041"/>
      <c r="Z173" s="1041"/>
      <c r="AA173" s="1495"/>
      <c r="AB173" s="472"/>
      <c r="AC173" s="472"/>
      <c r="AD173" s="472"/>
      <c r="AE173" s="472"/>
    </row>
    <row r="174" spans="1:31" s="14431" customFormat="1" ht="11.25" customHeight="1">
      <c r="A174" s="876"/>
      <c r="B174" s="1499"/>
      <c r="C174" s="1499"/>
      <c r="D174" s="267"/>
      <c r="K174" s="1041"/>
      <c r="L174" s="1499"/>
      <c r="M174" s="1499"/>
      <c r="N174" s="1041"/>
      <c r="O174" s="1041"/>
      <c r="P174" s="1041"/>
      <c r="Q174" s="1041"/>
      <c r="R174" s="1499"/>
      <c r="S174" s="1041"/>
      <c r="T174" s="1041"/>
      <c r="U174" s="450"/>
      <c r="V174" s="1041"/>
      <c r="W174" s="1041"/>
      <c r="X174" s="1041"/>
      <c r="Y174" s="1041"/>
      <c r="Z174" s="1041"/>
      <c r="AA174" s="1495"/>
      <c r="AB174" s="472"/>
      <c r="AC174" s="472"/>
      <c r="AD174" s="472"/>
      <c r="AE174" s="472"/>
    </row>
    <row r="175" spans="1:31" s="14431" customFormat="1" ht="11.25" customHeight="1">
      <c r="A175" s="876"/>
      <c r="B175" s="1499"/>
      <c r="C175" s="1499"/>
      <c r="D175" s="267"/>
      <c r="K175" s="1041"/>
      <c r="L175" s="1499"/>
      <c r="M175" s="1499"/>
      <c r="N175" s="1041"/>
      <c r="O175" s="1041"/>
      <c r="P175" s="1041"/>
      <c r="Q175" s="1041"/>
      <c r="R175" s="1499"/>
      <c r="S175" s="1041"/>
      <c r="T175" s="1041"/>
      <c r="U175" s="450"/>
      <c r="V175" s="1041"/>
      <c r="W175" s="1041"/>
      <c r="X175" s="1041"/>
      <c r="Y175" s="1041"/>
      <c r="Z175" s="1041"/>
      <c r="AA175" s="1495"/>
      <c r="AB175" s="472"/>
      <c r="AC175" s="472"/>
      <c r="AD175" s="472"/>
      <c r="AE175" s="472"/>
    </row>
    <row r="176" spans="1:31" s="14431" customFormat="1" ht="11.25" customHeight="1">
      <c r="A176" s="876"/>
      <c r="B176" s="1499"/>
      <c r="C176" s="1499"/>
      <c r="D176" s="267"/>
      <c r="K176" s="1041"/>
      <c r="L176" s="1499"/>
      <c r="M176" s="1499"/>
      <c r="N176" s="1041"/>
      <c r="O176" s="1041"/>
      <c r="P176" s="1041"/>
      <c r="Q176" s="1041"/>
      <c r="R176" s="1499"/>
      <c r="S176" s="1041"/>
      <c r="T176" s="1041"/>
      <c r="U176" s="450"/>
      <c r="V176" s="1041"/>
      <c r="W176" s="1041"/>
      <c r="X176" s="1041"/>
      <c r="Y176" s="1041"/>
      <c r="Z176" s="1041"/>
      <c r="AA176" s="1495"/>
      <c r="AB176" s="472"/>
      <c r="AC176" s="472"/>
      <c r="AD176" s="472"/>
      <c r="AE176" s="472"/>
    </row>
    <row r="177" spans="1:31" s="14431" customFormat="1" ht="11.25" customHeight="1">
      <c r="A177" s="876"/>
      <c r="B177" s="1499"/>
      <c r="C177" s="1499"/>
      <c r="D177" s="267"/>
      <c r="K177" s="1041"/>
      <c r="L177" s="1499"/>
      <c r="M177" s="1499"/>
      <c r="N177" s="1041"/>
      <c r="O177" s="1041"/>
      <c r="P177" s="1041"/>
      <c r="Q177" s="1041"/>
      <c r="R177" s="1499"/>
      <c r="S177" s="1041"/>
      <c r="T177" s="1041"/>
      <c r="U177" s="450"/>
      <c r="V177" s="1041"/>
      <c r="W177" s="1041"/>
      <c r="X177" s="1041"/>
      <c r="Y177" s="1041"/>
      <c r="Z177" s="1041"/>
      <c r="AA177" s="1495"/>
      <c r="AB177" s="472"/>
      <c r="AC177" s="472"/>
      <c r="AD177" s="472"/>
      <c r="AE177" s="472"/>
    </row>
    <row r="178" spans="1:31" s="14431" customFormat="1" ht="11.25" customHeight="1">
      <c r="A178" s="876"/>
      <c r="B178" s="1499"/>
      <c r="C178" s="1499"/>
      <c r="D178" s="267"/>
      <c r="K178" s="1041"/>
      <c r="L178" s="1499"/>
      <c r="M178" s="1499"/>
      <c r="N178" s="1041"/>
      <c r="O178" s="1041"/>
      <c r="P178" s="1041"/>
      <c r="Q178" s="1041"/>
      <c r="R178" s="1499"/>
      <c r="S178" s="1041"/>
      <c r="T178" s="1041"/>
      <c r="U178" s="450"/>
      <c r="V178" s="1041"/>
      <c r="W178" s="1041"/>
      <c r="X178" s="1041"/>
      <c r="Y178" s="1041"/>
      <c r="Z178" s="1041"/>
      <c r="AA178" s="1495"/>
      <c r="AB178" s="472"/>
      <c r="AC178" s="472"/>
      <c r="AD178" s="472"/>
      <c r="AE178" s="472"/>
    </row>
    <row r="179" spans="1:31" s="14431" customFormat="1" ht="11.25" customHeight="1">
      <c r="A179" s="876"/>
      <c r="B179" s="1499"/>
      <c r="C179" s="1499"/>
      <c r="D179" s="267"/>
      <c r="K179" s="1041"/>
      <c r="L179" s="1499"/>
      <c r="M179" s="1499"/>
      <c r="N179" s="1041"/>
      <c r="O179" s="1041"/>
      <c r="P179" s="1041"/>
      <c r="Q179" s="1041"/>
      <c r="R179" s="1499"/>
      <c r="S179" s="1041"/>
      <c r="T179" s="1041"/>
      <c r="U179" s="450"/>
      <c r="V179" s="1041"/>
      <c r="W179" s="1041"/>
      <c r="X179" s="1041"/>
      <c r="Y179" s="1041"/>
      <c r="Z179" s="1041"/>
      <c r="AA179" s="1495"/>
      <c r="AB179" s="472"/>
      <c r="AC179" s="472"/>
      <c r="AD179" s="472"/>
      <c r="AE179" s="472"/>
    </row>
    <row r="180" spans="1:31" s="14431" customFormat="1" ht="11.25" customHeight="1">
      <c r="A180" s="876"/>
      <c r="B180" s="1499"/>
      <c r="C180" s="1499"/>
      <c r="D180" s="267"/>
      <c r="K180" s="1041"/>
      <c r="L180" s="1499"/>
      <c r="M180" s="1499"/>
      <c r="N180" s="1041"/>
      <c r="O180" s="1041"/>
      <c r="P180" s="1041"/>
      <c r="Q180" s="1041"/>
      <c r="R180" s="1499"/>
      <c r="S180" s="1041"/>
      <c r="T180" s="1041"/>
      <c r="U180" s="450"/>
      <c r="V180" s="1041"/>
      <c r="W180" s="1041"/>
      <c r="X180" s="1041"/>
      <c r="Y180" s="1041"/>
      <c r="Z180" s="1041"/>
      <c r="AA180" s="1495"/>
      <c r="AB180" s="472"/>
      <c r="AC180" s="472"/>
      <c r="AD180" s="472"/>
      <c r="AE180" s="472"/>
    </row>
    <row r="181" spans="1:31" s="14431" customFormat="1" ht="11.25" customHeight="1">
      <c r="A181" s="876"/>
      <c r="B181" s="1499"/>
      <c r="C181" s="1499"/>
      <c r="D181" s="267"/>
      <c r="K181" s="1041"/>
      <c r="L181" s="1499"/>
      <c r="M181" s="1499"/>
      <c r="N181" s="1041"/>
      <c r="O181" s="1041"/>
      <c r="P181" s="1041"/>
      <c r="Q181" s="1041"/>
      <c r="R181" s="1499"/>
      <c r="S181" s="1041"/>
      <c r="T181" s="1041"/>
      <c r="U181" s="450"/>
      <c r="V181" s="1041"/>
      <c r="W181" s="1041"/>
      <c r="X181" s="1041"/>
      <c r="Y181" s="1041"/>
      <c r="Z181" s="1041"/>
      <c r="AA181" s="1495"/>
      <c r="AB181" s="472"/>
      <c r="AC181" s="472"/>
      <c r="AD181" s="472"/>
      <c r="AE181" s="472"/>
    </row>
    <row r="182" spans="1:31" s="14431" customFormat="1" ht="11.25" customHeight="1">
      <c r="A182" s="876"/>
      <c r="B182" s="1499"/>
      <c r="C182" s="1499"/>
      <c r="D182" s="267"/>
      <c r="K182" s="1041"/>
      <c r="L182" s="1499"/>
      <c r="M182" s="1499"/>
      <c r="N182" s="1041"/>
      <c r="O182" s="1041"/>
      <c r="P182" s="1041"/>
      <c r="Q182" s="1041"/>
      <c r="R182" s="1499"/>
      <c r="S182" s="1041"/>
      <c r="T182" s="1041"/>
      <c r="U182" s="450"/>
      <c r="V182" s="1041"/>
      <c r="W182" s="1041"/>
      <c r="X182" s="1041"/>
      <c r="Y182" s="1041"/>
      <c r="Z182" s="1041"/>
      <c r="AA182" s="1495"/>
      <c r="AB182" s="472"/>
      <c r="AC182" s="472"/>
      <c r="AD182" s="472"/>
      <c r="AE182" s="472"/>
    </row>
    <row r="183" spans="1:31" s="14431" customFormat="1" ht="11.25" customHeight="1">
      <c r="A183" s="876"/>
      <c r="B183" s="1499"/>
      <c r="C183" s="1499"/>
      <c r="D183" s="267"/>
      <c r="K183" s="1041"/>
      <c r="L183" s="1499"/>
      <c r="M183" s="1499"/>
      <c r="N183" s="1041"/>
      <c r="O183" s="1041"/>
      <c r="P183" s="1041"/>
      <c r="Q183" s="1041"/>
      <c r="R183" s="1499"/>
      <c r="S183" s="1041"/>
      <c r="T183" s="1041"/>
      <c r="U183" s="450"/>
      <c r="V183" s="1041"/>
      <c r="W183" s="1041"/>
      <c r="X183" s="1041"/>
      <c r="Y183" s="1041"/>
      <c r="Z183" s="1041"/>
      <c r="AA183" s="1495"/>
      <c r="AB183" s="472"/>
      <c r="AC183" s="472"/>
      <c r="AD183" s="472"/>
      <c r="AE183" s="472"/>
    </row>
    <row r="184" spans="1:31" s="14431" customFormat="1" ht="11.25" customHeight="1">
      <c r="A184" s="876"/>
      <c r="B184" s="1499"/>
      <c r="C184" s="1499"/>
      <c r="D184" s="267"/>
      <c r="K184" s="1041"/>
      <c r="L184" s="1499"/>
      <c r="M184" s="1499"/>
      <c r="N184" s="1041"/>
      <c r="O184" s="1041"/>
      <c r="P184" s="1041"/>
      <c r="Q184" s="1041"/>
      <c r="R184" s="1499"/>
      <c r="S184" s="1041"/>
      <c r="T184" s="1041"/>
      <c r="U184" s="450"/>
      <c r="V184" s="1041"/>
      <c r="W184" s="1041"/>
      <c r="X184" s="1041"/>
      <c r="Y184" s="1041"/>
      <c r="Z184" s="1041"/>
      <c r="AA184" s="1495"/>
      <c r="AB184" s="472"/>
      <c r="AC184" s="472"/>
      <c r="AD184" s="472"/>
      <c r="AE184" s="472"/>
    </row>
    <row r="185" spans="1:31" s="14431" customFormat="1" ht="11.25" customHeight="1">
      <c r="A185" s="876"/>
      <c r="B185" s="1499"/>
      <c r="C185" s="1499"/>
      <c r="D185" s="267"/>
      <c r="K185" s="1041"/>
      <c r="L185" s="1499"/>
      <c r="M185" s="1499"/>
      <c r="N185" s="1041"/>
      <c r="O185" s="1041"/>
      <c r="P185" s="1041"/>
      <c r="Q185" s="1041"/>
      <c r="R185" s="1499"/>
      <c r="S185" s="1041"/>
      <c r="T185" s="1041"/>
      <c r="U185" s="450"/>
      <c r="V185" s="1041"/>
      <c r="W185" s="1041"/>
      <c r="X185" s="1041"/>
      <c r="Y185" s="1041"/>
      <c r="Z185" s="1041"/>
      <c r="AA185" s="1495"/>
      <c r="AB185" s="472"/>
      <c r="AC185" s="472"/>
      <c r="AD185" s="472"/>
      <c r="AE185" s="472"/>
    </row>
    <row r="186" spans="1:31" s="14431" customFormat="1" ht="11.25" customHeight="1">
      <c r="A186" s="876"/>
      <c r="B186" s="1499"/>
      <c r="C186" s="1499"/>
      <c r="D186" s="267"/>
      <c r="K186" s="1041"/>
      <c r="L186" s="1499"/>
      <c r="M186" s="1499"/>
      <c r="N186" s="1041"/>
      <c r="O186" s="1041"/>
      <c r="P186" s="1041"/>
      <c r="Q186" s="1041"/>
      <c r="R186" s="1499"/>
      <c r="S186" s="1041"/>
      <c r="T186" s="1041"/>
      <c r="U186" s="450"/>
      <c r="V186" s="1041"/>
      <c r="W186" s="1041"/>
      <c r="X186" s="1041"/>
      <c r="Y186" s="1041"/>
      <c r="Z186" s="1041"/>
      <c r="AA186" s="1495"/>
      <c r="AB186" s="472"/>
      <c r="AC186" s="472"/>
      <c r="AD186" s="472"/>
      <c r="AE186" s="472"/>
    </row>
    <row r="187" spans="1:31" s="14431" customFormat="1" ht="11.25" customHeight="1">
      <c r="A187" s="876"/>
      <c r="B187" s="1499"/>
      <c r="C187" s="1499"/>
      <c r="D187" s="267"/>
      <c r="K187" s="1041"/>
      <c r="L187" s="1499"/>
      <c r="M187" s="1499"/>
      <c r="N187" s="1041"/>
      <c r="O187" s="1041"/>
      <c r="P187" s="1041"/>
      <c r="Q187" s="1041"/>
      <c r="R187" s="1499"/>
      <c r="S187" s="1041"/>
      <c r="T187" s="1041"/>
      <c r="U187" s="450"/>
      <c r="V187" s="1041"/>
      <c r="W187" s="1041"/>
      <c r="X187" s="1041"/>
      <c r="Y187" s="1041"/>
      <c r="Z187" s="1041"/>
      <c r="AA187" s="1495"/>
      <c r="AB187" s="472"/>
      <c r="AC187" s="472"/>
      <c r="AD187" s="472"/>
      <c r="AE187" s="472"/>
    </row>
    <row r="188" spans="1:31" s="14431" customFormat="1" ht="11.25" customHeight="1">
      <c r="A188" s="876"/>
      <c r="B188" s="1499"/>
      <c r="C188" s="1499"/>
      <c r="D188" s="267"/>
      <c r="K188" s="1041"/>
      <c r="L188" s="1499"/>
      <c r="M188" s="1499"/>
      <c r="N188" s="1041"/>
      <c r="O188" s="1041"/>
      <c r="P188" s="1041"/>
      <c r="Q188" s="1041"/>
      <c r="R188" s="1499"/>
      <c r="S188" s="1041"/>
      <c r="T188" s="1041"/>
      <c r="U188" s="450"/>
      <c r="V188" s="1041"/>
      <c r="W188" s="1041"/>
      <c r="X188" s="1041"/>
      <c r="Y188" s="1041"/>
      <c r="Z188" s="1041"/>
      <c r="AA188" s="1495"/>
      <c r="AB188" s="472"/>
      <c r="AC188" s="472"/>
      <c r="AD188" s="472"/>
      <c r="AE188" s="472"/>
    </row>
    <row r="189" spans="1:31" s="14431" customFormat="1" ht="11.25" customHeight="1">
      <c r="A189" s="876"/>
      <c r="B189" s="1499"/>
      <c r="C189" s="1499"/>
      <c r="D189" s="267"/>
      <c r="K189" s="1041"/>
      <c r="L189" s="1499"/>
      <c r="M189" s="1499"/>
      <c r="N189" s="1041"/>
      <c r="O189" s="1041"/>
      <c r="P189" s="1041"/>
      <c r="Q189" s="1041"/>
      <c r="R189" s="1499"/>
      <c r="S189" s="1041"/>
      <c r="T189" s="1041"/>
      <c r="U189" s="450"/>
      <c r="V189" s="1041"/>
      <c r="W189" s="1041"/>
      <c r="X189" s="1041"/>
      <c r="Y189" s="1041"/>
      <c r="Z189" s="1041"/>
      <c r="AA189" s="1495"/>
      <c r="AB189" s="472"/>
      <c r="AC189" s="472"/>
      <c r="AD189" s="472"/>
      <c r="AE189" s="472"/>
    </row>
    <row r="190" spans="1:31" s="14431" customFormat="1" ht="11.25" customHeight="1">
      <c r="A190" s="876"/>
      <c r="B190" s="1499"/>
      <c r="C190" s="1499"/>
      <c r="D190" s="267"/>
      <c r="K190" s="1041"/>
      <c r="L190" s="1499"/>
      <c r="M190" s="1499"/>
      <c r="N190" s="1041"/>
      <c r="O190" s="1041"/>
      <c r="P190" s="1041"/>
      <c r="Q190" s="1041"/>
      <c r="R190" s="1499"/>
      <c r="S190" s="1041"/>
      <c r="T190" s="1041"/>
      <c r="U190" s="450"/>
      <c r="V190" s="1041"/>
      <c r="W190" s="1041"/>
      <c r="X190" s="1041"/>
      <c r="Y190" s="1041"/>
      <c r="Z190" s="1041"/>
      <c r="AA190" s="1495"/>
      <c r="AB190" s="472"/>
      <c r="AC190" s="472"/>
      <c r="AD190" s="472"/>
      <c r="AE190" s="472"/>
    </row>
    <row r="191" spans="1:31" s="14431" customFormat="1" ht="11.25" customHeight="1">
      <c r="A191" s="876"/>
      <c r="B191" s="1499"/>
      <c r="C191" s="1499"/>
      <c r="D191" s="267"/>
      <c r="K191" s="1041"/>
      <c r="L191" s="1499"/>
      <c r="M191" s="1499"/>
      <c r="N191" s="1041"/>
      <c r="O191" s="1041"/>
      <c r="P191" s="1041"/>
      <c r="Q191" s="1041"/>
      <c r="R191" s="1499"/>
      <c r="S191" s="1041"/>
      <c r="T191" s="1041"/>
      <c r="U191" s="450"/>
      <c r="V191" s="1041"/>
      <c r="W191" s="1041"/>
      <c r="X191" s="1041"/>
      <c r="Y191" s="1041"/>
      <c r="Z191" s="1041"/>
      <c r="AA191" s="1495"/>
      <c r="AB191" s="472"/>
      <c r="AC191" s="472"/>
      <c r="AD191" s="472"/>
      <c r="AE191" s="472"/>
    </row>
    <row r="192" spans="1:31" s="14431" customFormat="1" ht="11.25" customHeight="1">
      <c r="A192" s="876"/>
      <c r="B192" s="1499"/>
      <c r="C192" s="1499"/>
      <c r="D192" s="267"/>
      <c r="K192" s="1041"/>
      <c r="L192" s="1499"/>
      <c r="M192" s="1499"/>
      <c r="N192" s="1041"/>
      <c r="O192" s="1041"/>
      <c r="P192" s="1041"/>
      <c r="Q192" s="1041"/>
      <c r="R192" s="1499"/>
      <c r="S192" s="1041"/>
      <c r="T192" s="1041"/>
      <c r="U192" s="450"/>
      <c r="V192" s="1041"/>
      <c r="W192" s="1041"/>
      <c r="X192" s="1041"/>
      <c r="Y192" s="1041"/>
      <c r="Z192" s="1041"/>
      <c r="AA192" s="1495"/>
      <c r="AB192" s="472"/>
      <c r="AC192" s="472"/>
      <c r="AD192" s="472"/>
      <c r="AE192" s="472"/>
    </row>
    <row r="193" spans="1:31" s="14431" customFormat="1" ht="11.25" customHeight="1">
      <c r="A193" s="876"/>
      <c r="B193" s="1499"/>
      <c r="C193" s="1499"/>
      <c r="D193" s="267"/>
      <c r="K193" s="1041"/>
      <c r="L193" s="1499"/>
      <c r="M193" s="1499"/>
      <c r="N193" s="1041"/>
      <c r="O193" s="1041"/>
      <c r="P193" s="1041"/>
      <c r="Q193" s="1041"/>
      <c r="R193" s="1499"/>
      <c r="S193" s="1041"/>
      <c r="T193" s="1041"/>
      <c r="U193" s="450"/>
      <c r="V193" s="1041"/>
      <c r="W193" s="1041"/>
      <c r="X193" s="1041"/>
      <c r="Y193" s="1041"/>
      <c r="Z193" s="1041"/>
      <c r="AA193" s="1495"/>
      <c r="AB193" s="472"/>
      <c r="AC193" s="472"/>
      <c r="AD193" s="472"/>
      <c r="AE193" s="472"/>
    </row>
    <row r="194" spans="1:31" s="14431" customFormat="1" ht="11.25" customHeight="1">
      <c r="A194" s="876"/>
      <c r="B194" s="1499"/>
      <c r="C194" s="1499"/>
      <c r="D194" s="267"/>
      <c r="K194" s="1041"/>
      <c r="L194" s="1499"/>
      <c r="M194" s="1499"/>
      <c r="N194" s="1041"/>
      <c r="O194" s="1041"/>
      <c r="P194" s="1041"/>
      <c r="Q194" s="1041"/>
      <c r="R194" s="1499"/>
      <c r="S194" s="1041"/>
      <c r="T194" s="1041"/>
      <c r="U194" s="450"/>
      <c r="V194" s="1041"/>
      <c r="W194" s="1041"/>
      <c r="X194" s="1041"/>
      <c r="Y194" s="1041"/>
      <c r="Z194" s="1041"/>
      <c r="AA194" s="1495"/>
      <c r="AB194" s="472"/>
      <c r="AC194" s="472"/>
      <c r="AD194" s="472"/>
      <c r="AE194" s="472"/>
    </row>
    <row r="195" spans="1:31" s="14431" customFormat="1" ht="11.25" customHeight="1">
      <c r="A195" s="876"/>
      <c r="B195" s="1499"/>
      <c r="C195" s="1499"/>
      <c r="D195" s="267"/>
      <c r="K195" s="1041"/>
      <c r="L195" s="1499"/>
      <c r="M195" s="1499"/>
      <c r="N195" s="1041"/>
      <c r="O195" s="1041"/>
      <c r="P195" s="1041"/>
      <c r="Q195" s="1041"/>
      <c r="R195" s="1499"/>
      <c r="S195" s="1041"/>
      <c r="T195" s="1041"/>
      <c r="U195" s="450"/>
      <c r="V195" s="1041"/>
      <c r="W195" s="1041"/>
      <c r="X195" s="1041"/>
      <c r="Y195" s="1041"/>
      <c r="Z195" s="1041"/>
      <c r="AA195" s="1495"/>
      <c r="AB195" s="472"/>
      <c r="AC195" s="472"/>
      <c r="AD195" s="472"/>
      <c r="AE195" s="472"/>
    </row>
    <row r="199" spans="1:31" ht="11.25" customHeight="1">
      <c r="A199" s="879"/>
      <c r="B199" s="1494"/>
      <c r="D199" s="1494"/>
      <c r="K199" s="1494"/>
      <c r="N199" s="1494"/>
      <c r="O199" s="1494"/>
      <c r="P199" s="1494"/>
      <c r="Q199" s="1494"/>
      <c r="S199" s="1494"/>
      <c r="T199" s="1494"/>
      <c r="U199" s="1494"/>
      <c r="V199" s="1494"/>
      <c r="W199" s="1494"/>
      <c r="X199" s="1494"/>
      <c r="Y199" s="1494"/>
      <c r="Z199" s="1494"/>
      <c r="AA199" s="1494"/>
      <c r="AB199" s="1494"/>
      <c r="AC199" s="1494"/>
      <c r="AD199" s="1494"/>
      <c r="AE199" s="1494"/>
    </row>
    <row r="200" spans="1:31" ht="11.25" customHeight="1">
      <c r="A200" s="879"/>
      <c r="B200" s="1494"/>
      <c r="D200" s="1494"/>
      <c r="K200" s="1494"/>
      <c r="N200" s="1494"/>
      <c r="O200" s="1494"/>
      <c r="P200" s="1494"/>
      <c r="Q200" s="1494"/>
      <c r="S200" s="1494"/>
      <c r="T200" s="1494"/>
      <c r="U200" s="1494"/>
      <c r="V200" s="1494"/>
      <c r="W200" s="1494"/>
      <c r="X200" s="1494"/>
      <c r="Y200" s="1494"/>
      <c r="Z200" s="1494"/>
      <c r="AA200" s="1494"/>
      <c r="AB200" s="1494"/>
      <c r="AC200" s="1494"/>
      <c r="AD200" s="1494"/>
      <c r="AE200" s="1494"/>
    </row>
    <row r="201" spans="1:31" ht="11.25" customHeight="1">
      <c r="A201" s="879"/>
      <c r="B201" s="1494"/>
      <c r="D201" s="1494"/>
      <c r="K201" s="1494"/>
      <c r="N201" s="1494"/>
      <c r="O201" s="1494"/>
      <c r="P201" s="1494"/>
      <c r="Q201" s="1494"/>
      <c r="S201" s="1494"/>
      <c r="T201" s="1494"/>
      <c r="U201" s="1494"/>
      <c r="V201" s="1494"/>
      <c r="W201" s="1494"/>
      <c r="X201" s="1494"/>
      <c r="Y201" s="1494"/>
      <c r="Z201" s="1494"/>
      <c r="AA201" s="1494"/>
      <c r="AB201" s="1494"/>
      <c r="AC201" s="1494"/>
      <c r="AD201" s="1494"/>
      <c r="AE201" s="1494"/>
    </row>
    <row r="202" spans="1:31" ht="11.25" customHeight="1">
      <c r="A202" s="879"/>
      <c r="B202" s="1494"/>
      <c r="D202" s="1494"/>
      <c r="K202" s="1494"/>
      <c r="N202" s="1494"/>
      <c r="O202" s="1494"/>
      <c r="P202" s="1494"/>
      <c r="Q202" s="1494"/>
      <c r="S202" s="1494"/>
      <c r="T202" s="1494"/>
      <c r="U202" s="1494"/>
      <c r="V202" s="1494"/>
      <c r="W202" s="1494"/>
      <c r="X202" s="1494"/>
      <c r="Y202" s="1494"/>
      <c r="Z202" s="1494"/>
      <c r="AA202" s="1494"/>
      <c r="AB202" s="1494"/>
      <c r="AC202" s="1494"/>
      <c r="AD202" s="1494"/>
      <c r="AE202" s="1494"/>
    </row>
    <row r="203" spans="1:31" ht="11.25" customHeight="1">
      <c r="A203" s="879"/>
      <c r="B203" s="1494"/>
      <c r="D203" s="1494"/>
      <c r="K203" s="1494"/>
      <c r="N203" s="1494"/>
      <c r="O203" s="1494"/>
      <c r="P203" s="1494"/>
      <c r="Q203" s="1494"/>
      <c r="S203" s="1494"/>
      <c r="T203" s="1494"/>
      <c r="U203" s="1494"/>
      <c r="V203" s="1494"/>
      <c r="W203" s="1494"/>
      <c r="X203" s="1494"/>
      <c r="Y203" s="1494"/>
      <c r="Z203" s="1494"/>
      <c r="AA203" s="1494"/>
      <c r="AB203" s="1494"/>
      <c r="AC203" s="1494"/>
      <c r="AD203" s="1494"/>
      <c r="AE203" s="1494"/>
    </row>
    <row r="204" spans="1:31" ht="11.25" customHeight="1">
      <c r="A204" s="879"/>
      <c r="B204" s="1494"/>
      <c r="D204" s="1494"/>
      <c r="K204" s="1494"/>
      <c r="N204" s="1494"/>
      <c r="O204" s="1494"/>
      <c r="P204" s="1494"/>
      <c r="Q204" s="1494"/>
      <c r="S204" s="1494"/>
      <c r="T204" s="1494"/>
      <c r="U204" s="1494"/>
      <c r="V204" s="1494"/>
      <c r="W204" s="1494"/>
      <c r="X204" s="1494"/>
      <c r="Y204" s="1494"/>
      <c r="Z204" s="1494"/>
      <c r="AA204" s="1494"/>
      <c r="AB204" s="1494"/>
      <c r="AC204" s="1494"/>
      <c r="AD204" s="1494"/>
      <c r="AE204" s="1494"/>
    </row>
    <row r="205" spans="1:31" ht="11.25" customHeight="1">
      <c r="A205" s="879"/>
      <c r="B205" s="1494"/>
      <c r="D205" s="1494"/>
      <c r="K205" s="1494"/>
      <c r="N205" s="1494"/>
      <c r="O205" s="1494"/>
      <c r="P205" s="1494"/>
      <c r="Q205" s="1494"/>
      <c r="S205" s="1494"/>
      <c r="T205" s="1494"/>
      <c r="U205" s="1494"/>
      <c r="V205" s="1494"/>
      <c r="W205" s="1494"/>
      <c r="X205" s="1494"/>
      <c r="Y205" s="1494"/>
      <c r="Z205" s="1494"/>
      <c r="AA205" s="1494"/>
      <c r="AB205" s="1494"/>
      <c r="AC205" s="1494"/>
      <c r="AD205" s="1494"/>
      <c r="AE205" s="1494"/>
    </row>
    <row r="206" spans="1:31" ht="11.25" customHeight="1">
      <c r="A206" s="879"/>
      <c r="B206" s="1494"/>
      <c r="D206" s="1494"/>
      <c r="K206" s="1494"/>
      <c r="N206" s="1494"/>
      <c r="O206" s="1494"/>
      <c r="P206" s="1494"/>
      <c r="Q206" s="1494"/>
      <c r="S206" s="1494"/>
      <c r="T206" s="1494"/>
      <c r="U206" s="1494"/>
      <c r="V206" s="1494"/>
      <c r="W206" s="1494"/>
      <c r="X206" s="1494"/>
      <c r="Y206" s="1494"/>
      <c r="Z206" s="1494"/>
      <c r="AA206" s="1494"/>
      <c r="AB206" s="1494"/>
      <c r="AC206" s="1494"/>
      <c r="AD206" s="1494"/>
      <c r="AE206" s="1494"/>
    </row>
    <row r="207" spans="1:31" ht="11.25" customHeight="1">
      <c r="A207" s="879"/>
      <c r="B207" s="1494"/>
      <c r="D207" s="1494"/>
      <c r="K207" s="1494"/>
      <c r="N207" s="1494"/>
      <c r="O207" s="1494"/>
      <c r="P207" s="1494"/>
      <c r="Q207" s="1494"/>
      <c r="S207" s="1494"/>
      <c r="T207" s="1494"/>
      <c r="U207" s="1494"/>
      <c r="V207" s="1494"/>
      <c r="W207" s="1494"/>
      <c r="X207" s="1494"/>
      <c r="Y207" s="1494"/>
      <c r="Z207" s="1494"/>
      <c r="AA207" s="1494"/>
      <c r="AB207" s="1494"/>
      <c r="AC207" s="1494"/>
      <c r="AD207" s="1494"/>
      <c r="AE207" s="1494"/>
    </row>
    <row r="208" spans="1:31" ht="11.25" customHeight="1">
      <c r="A208" s="879"/>
      <c r="B208" s="1494"/>
      <c r="D208" s="1494"/>
      <c r="K208" s="1494"/>
      <c r="N208" s="1494"/>
      <c r="O208" s="1494"/>
      <c r="P208" s="1494"/>
      <c r="Q208" s="1494"/>
      <c r="S208" s="1494"/>
      <c r="T208" s="1494"/>
      <c r="U208" s="1494"/>
      <c r="V208" s="1494"/>
      <c r="W208" s="1494"/>
      <c r="X208" s="1494"/>
      <c r="Y208" s="1494"/>
      <c r="Z208" s="1494"/>
      <c r="AA208" s="1494"/>
      <c r="AB208" s="1494"/>
      <c r="AC208" s="1494"/>
      <c r="AD208" s="1494"/>
      <c r="AE208" s="1494"/>
    </row>
    <row r="209" spans="1:31" ht="11.25" customHeight="1">
      <c r="A209" s="879"/>
      <c r="B209" s="1494"/>
      <c r="D209" s="1494"/>
      <c r="K209" s="1494"/>
      <c r="N209" s="1494"/>
      <c r="O209" s="1494"/>
      <c r="P209" s="1494"/>
      <c r="Q209" s="1494"/>
      <c r="S209" s="1494"/>
      <c r="T209" s="1494"/>
      <c r="U209" s="1494"/>
      <c r="V209" s="1494"/>
      <c r="W209" s="1494"/>
      <c r="X209" s="1494"/>
      <c r="Y209" s="1494"/>
      <c r="Z209" s="1494"/>
      <c r="AA209" s="1494"/>
      <c r="AB209" s="1494"/>
      <c r="AC209" s="1494"/>
      <c r="AD209" s="1494"/>
      <c r="AE209" s="149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5867" hidden="1" customWidth="1"/>
    <col min="2" max="2" width="3.5703125" style="14421" hidden="1" customWidth="1"/>
    <col min="3" max="3" width="3.7109375" style="14409" customWidth="1"/>
    <col min="4" max="4" width="7.7109375" style="14409" customWidth="1"/>
    <col min="5" max="5" width="69.85546875" style="14409" customWidth="1"/>
    <col min="6" max="6" width="11.140625" style="14409" customWidth="1"/>
    <col min="7" max="8" width="44" style="14409" hidden="1" customWidth="1"/>
    <col min="9" max="10" width="44" style="14361" customWidth="1"/>
    <col min="11" max="11" width="74" style="14409" customWidth="1"/>
    <col min="12" max="12" width="3.7109375" style="14409" customWidth="1"/>
    <col min="13" max="23" width="10.5703125" style="14409"/>
  </cols>
  <sheetData>
    <row r="1" spans="1:12" s="14362" customFormat="1" ht="11.25" hidden="1" customHeight="1">
      <c r="A1" s="442"/>
      <c r="B1" s="418"/>
      <c r="G1" s="332">
        <v>4</v>
      </c>
      <c r="I1" s="332">
        <v>4</v>
      </c>
      <c r="K1" s="332">
        <v>5</v>
      </c>
    </row>
    <row r="2" spans="1:12" ht="3" customHeight="1"/>
    <row r="3" spans="1:12" ht="75" customHeight="1">
      <c r="D3" s="159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5986"/>
      <c r="F3" s="15987"/>
    </row>
    <row r="4" spans="1:12" s="14361" customFormat="1" ht="20.25" customHeight="1">
      <c r="A4" s="841"/>
      <c r="B4" s="418"/>
      <c r="D4" s="16089" t="str">
        <f>IF(org=0,"Не определено",org)</f>
        <v>АО "Мурманэнергосбыт"</v>
      </c>
      <c r="E4" s="16090"/>
      <c r="F4" s="16091"/>
    </row>
    <row r="5" spans="1:12" ht="11.25" customHeight="1">
      <c r="C5" s="416"/>
      <c r="D5" s="492"/>
      <c r="E5" s="492"/>
      <c r="F5" s="492"/>
      <c r="G5" s="492"/>
      <c r="H5" s="650"/>
      <c r="I5" s="492"/>
      <c r="J5" s="650"/>
      <c r="K5" s="492"/>
    </row>
    <row r="6" spans="1:12" ht="0.75" customHeight="1">
      <c r="C6" s="416"/>
      <c r="D6" s="416"/>
      <c r="E6" s="429"/>
      <c r="F6" s="516"/>
      <c r="G6" s="910"/>
      <c r="H6" s="910"/>
      <c r="I6" s="910" t="s">
        <v>152</v>
      </c>
      <c r="J6" s="910"/>
    </row>
    <row r="7" spans="1:12" ht="11.25" customHeight="1">
      <c r="D7" s="611"/>
      <c r="E7" s="16203" t="s">
        <v>143</v>
      </c>
      <c r="F7" s="16204"/>
      <c r="G7" s="16222" t="str">
        <f>IF(G6="","",INDEX(DIFFERENTIATION_UNMERGE_VD,MATCH(G6,DIFFERENTIATION_ID_DIFF,0)))</f>
        <v/>
      </c>
      <c r="H7" s="16223"/>
      <c r="I7" s="16222">
        <f>IF(I6="","",INDEX(DIFFERENTIATION_UNMERGE_VD,MATCH(I6,DIFFERENTIATION_ID_DIFF,0)))</f>
        <v>0</v>
      </c>
      <c r="J7" s="16223"/>
      <c r="K7" s="16055"/>
      <c r="L7" s="416"/>
    </row>
    <row r="8" spans="1:12" ht="11.25" customHeight="1">
      <c r="A8" s="604"/>
      <c r="D8" s="611"/>
      <c r="E8" s="16203" t="s">
        <v>702</v>
      </c>
      <c r="F8" s="16204"/>
      <c r="G8" s="16222" t="str">
        <f>IF(G6="","",INDEX(DIFFERENTIATION_UNMERGE_AREA,MATCH(G6,DIFFERENTIATION_ID_DIFF,0)))</f>
        <v/>
      </c>
      <c r="H8" s="16223"/>
      <c r="I8" s="16222" t="str">
        <f>IF(I6="","",INDEX(DIFFERENTIATION_UNMERGE_AREA,MATCH(I6,DIFFERENTIATION_ID_DIFF,0)))</f>
        <v/>
      </c>
      <c r="J8" s="16223"/>
      <c r="K8" s="16074"/>
      <c r="L8" s="416"/>
    </row>
    <row r="9" spans="1:12" ht="11.25" customHeight="1">
      <c r="A9" s="604"/>
      <c r="D9" s="611"/>
      <c r="E9" s="16203" t="s">
        <v>703</v>
      </c>
      <c r="F9" s="16204"/>
      <c r="G9" s="16222" t="str">
        <f>IF(G6="","",INDEX(DIFFERENTIATION_UNMERGE_SYSTEM,MATCH(G6,DIFFERENTIATION_ID_DIFF,0)))</f>
        <v/>
      </c>
      <c r="H9" s="16223"/>
      <c r="I9" s="16222" t="str">
        <f>IF(I6="","",INDEX(DIFFERENTIATION_UNMERGE_SYSTEM,MATCH(I6,DIFFERENTIATION_ID_DIFF,0)))</f>
        <v>без дифференциации</v>
      </c>
      <c r="J9" s="16223"/>
      <c r="K9" s="16074"/>
      <c r="L9" s="416"/>
    </row>
    <row r="10" spans="1:12" s="14361" customFormat="1" ht="11.25" customHeight="1">
      <c r="A10" s="909"/>
      <c r="B10" s="418"/>
      <c r="D10" s="15963" t="s">
        <v>437</v>
      </c>
      <c r="E10" s="15968"/>
      <c r="F10" s="15968"/>
      <c r="G10" s="15968"/>
      <c r="H10" s="15968"/>
      <c r="I10" s="15968"/>
      <c r="J10" s="15962"/>
      <c r="K10" s="16074"/>
      <c r="L10" s="416"/>
    </row>
    <row r="11" spans="1:12" s="15863" customFormat="1" ht="22.5" customHeight="1">
      <c r="A11" s="16144"/>
      <c r="B11" s="16144"/>
      <c r="C11" s="559"/>
      <c r="D11" s="603" t="s">
        <v>87</v>
      </c>
      <c r="E11" s="605" t="s">
        <v>859</v>
      </c>
      <c r="F11" s="605" t="s">
        <v>704</v>
      </c>
      <c r="G11" s="373" t="s">
        <v>440</v>
      </c>
      <c r="H11" s="373" t="s">
        <v>527</v>
      </c>
      <c r="I11" s="705" t="s">
        <v>440</v>
      </c>
      <c r="J11" s="706" t="s">
        <v>527</v>
      </c>
      <c r="K11" s="16103"/>
      <c r="L11" s="560"/>
    </row>
    <row r="12" spans="1:12" s="14421" customFormat="1" ht="10.5" customHeight="1">
      <c r="A12" s="842"/>
      <c r="D12" s="913" t="s">
        <v>147</v>
      </c>
      <c r="E12" s="913" t="s">
        <v>102</v>
      </c>
      <c r="F12" s="913" t="s">
        <v>89</v>
      </c>
      <c r="G12" s="914" t="str">
        <f>G1&amp;".1"</f>
        <v>4.1</v>
      </c>
      <c r="H12" s="914" t="str">
        <f>G1&amp;".2"</f>
        <v>4.2</v>
      </c>
      <c r="I12" s="914" t="str">
        <f>I1&amp;".1"</f>
        <v>4.1</v>
      </c>
      <c r="J12" s="914" t="str">
        <f>I1&amp;".2"</f>
        <v>4.2</v>
      </c>
      <c r="K12" s="914"/>
    </row>
    <row r="13" spans="1:12" ht="22.5" hidden="1" customHeight="1">
      <c r="A13" s="16221" t="s">
        <v>860</v>
      </c>
      <c r="D13" s="843" t="s">
        <v>147</v>
      </c>
      <c r="E13" s="197" t="s">
        <v>861</v>
      </c>
      <c r="F13" s="562" t="s">
        <v>862</v>
      </c>
      <c r="G13" s="463"/>
      <c r="H13" s="563"/>
      <c r="I13" s="463"/>
      <c r="J13" s="563"/>
      <c r="K13" s="206" t="s">
        <v>863</v>
      </c>
      <c r="L13" s="620"/>
    </row>
    <row r="14" spans="1:12" ht="22.5" hidden="1" customHeight="1">
      <c r="A14" s="16221"/>
      <c r="D14" s="445" t="s">
        <v>102</v>
      </c>
      <c r="E14" s="197" t="s">
        <v>864</v>
      </c>
      <c r="F14" s="562" t="s">
        <v>865</v>
      </c>
      <c r="G14" s="463"/>
      <c r="H14" s="564"/>
      <c r="I14" s="463"/>
      <c r="J14" s="564"/>
      <c r="K14" s="206" t="s">
        <v>866</v>
      </c>
      <c r="L14" s="620"/>
    </row>
    <row r="15" spans="1:12" s="14361" customFormat="1" ht="78.75" hidden="1" customHeight="1">
      <c r="A15" s="16221"/>
      <c r="B15" s="418"/>
      <c r="D15" s="843" t="s">
        <v>89</v>
      </c>
      <c r="E15" s="607" t="s">
        <v>867</v>
      </c>
      <c r="F15" s="840" t="s">
        <v>443</v>
      </c>
      <c r="G15" s="840" t="s">
        <v>443</v>
      </c>
      <c r="H15" s="39"/>
      <c r="I15" s="840" t="s">
        <v>443</v>
      </c>
      <c r="J15" s="39"/>
      <c r="K15" s="206" t="s">
        <v>868</v>
      </c>
      <c r="L15" s="620"/>
    </row>
    <row r="16" spans="1:12" s="14361" customFormat="1" ht="22.5" hidden="1" customHeight="1">
      <c r="A16" s="16221"/>
      <c r="B16" s="418"/>
      <c r="D16" s="843" t="s">
        <v>461</v>
      </c>
      <c r="E16" s="844" t="s">
        <v>869</v>
      </c>
      <c r="F16" s="840" t="s">
        <v>870</v>
      </c>
      <c r="G16" s="715"/>
      <c r="H16" s="39"/>
      <c r="I16" s="715"/>
      <c r="J16" s="39"/>
      <c r="K16" s="206"/>
      <c r="L16" s="620"/>
    </row>
    <row r="17" spans="1:23" s="14361" customFormat="1" ht="22.5" hidden="1" customHeight="1">
      <c r="A17" s="16221"/>
      <c r="B17" s="418"/>
      <c r="D17" s="843" t="s">
        <v>469</v>
      </c>
      <c r="E17" s="844" t="s">
        <v>871</v>
      </c>
      <c r="F17" s="840" t="s">
        <v>872</v>
      </c>
      <c r="G17" s="715"/>
      <c r="H17" s="39"/>
      <c r="I17" s="715"/>
      <c r="J17" s="39"/>
      <c r="K17" s="206"/>
      <c r="L17" s="620"/>
    </row>
    <row r="18" spans="1:23" s="14361" customFormat="1" ht="33.75" hidden="1" customHeight="1">
      <c r="A18" s="16221"/>
      <c r="B18" s="418"/>
      <c r="D18" s="843" t="s">
        <v>471</v>
      </c>
      <c r="E18" s="844" t="s">
        <v>873</v>
      </c>
      <c r="F18" s="840" t="s">
        <v>709</v>
      </c>
      <c r="G18" s="582"/>
      <c r="H18" s="39"/>
      <c r="I18" s="582"/>
      <c r="J18" s="39"/>
      <c r="K18" s="206"/>
      <c r="L18" s="620"/>
    </row>
    <row r="19" spans="1:23" ht="101.25" hidden="1" customHeight="1">
      <c r="A19" s="16221"/>
      <c r="D19" s="843" t="s">
        <v>90</v>
      </c>
      <c r="E19" s="197" t="s">
        <v>874</v>
      </c>
      <c r="F19" s="562" t="s">
        <v>684</v>
      </c>
      <c r="G19" s="565"/>
      <c r="H19" s="564"/>
      <c r="I19" s="845"/>
      <c r="J19" s="564"/>
      <c r="K19" s="206" t="s">
        <v>875</v>
      </c>
      <c r="L19" s="620"/>
    </row>
    <row r="20" spans="1:23" s="14361" customFormat="1" ht="18.75" hidden="1" customHeight="1">
      <c r="A20" s="16221"/>
      <c r="C20" s="846"/>
      <c r="D20" s="843" t="s">
        <v>805</v>
      </c>
      <c r="E20" s="844" t="s">
        <v>876</v>
      </c>
      <c r="F20" s="840" t="s">
        <v>443</v>
      </c>
      <c r="G20" s="840" t="s">
        <v>443</v>
      </c>
      <c r="H20" s="839" t="s">
        <v>443</v>
      </c>
      <c r="I20" s="840" t="s">
        <v>443</v>
      </c>
      <c r="J20" s="839" t="s">
        <v>443</v>
      </c>
      <c r="K20" s="838"/>
      <c r="L20" s="620"/>
      <c r="W20" s="577"/>
    </row>
    <row r="21" spans="1:23" s="14361" customFormat="1" ht="33.75" hidden="1" customHeight="1">
      <c r="A21" s="16221"/>
      <c r="C21" s="846"/>
      <c r="D21" s="843" t="s">
        <v>808</v>
      </c>
      <c r="E21" s="482" t="s">
        <v>877</v>
      </c>
      <c r="F21" s="840" t="s">
        <v>878</v>
      </c>
      <c r="G21" s="833"/>
      <c r="H21" s="39"/>
      <c r="I21" s="833"/>
      <c r="J21" s="39"/>
      <c r="K21" s="838"/>
      <c r="L21" s="620"/>
      <c r="W21" s="577"/>
    </row>
    <row r="22" spans="1:23" s="14361" customFormat="1" ht="33.75" hidden="1" customHeight="1">
      <c r="A22" s="16221"/>
      <c r="C22" s="846"/>
      <c r="D22" s="843" t="s">
        <v>811</v>
      </c>
      <c r="E22" s="482" t="s">
        <v>879</v>
      </c>
      <c r="F22" s="840" t="s">
        <v>880</v>
      </c>
      <c r="G22" s="833"/>
      <c r="H22" s="39"/>
      <c r="I22" s="833"/>
      <c r="J22" s="39"/>
      <c r="K22" s="838"/>
      <c r="L22" s="620"/>
      <c r="W22" s="577"/>
    </row>
    <row r="23" spans="1:23" s="14361" customFormat="1" ht="22.5" hidden="1" customHeight="1">
      <c r="A23" s="16221"/>
      <c r="C23" s="846"/>
      <c r="D23" s="843" t="s">
        <v>848</v>
      </c>
      <c r="E23" s="844" t="s">
        <v>881</v>
      </c>
      <c r="F23" s="840" t="s">
        <v>443</v>
      </c>
      <c r="G23" s="840" t="s">
        <v>443</v>
      </c>
      <c r="H23" s="839" t="s">
        <v>443</v>
      </c>
      <c r="I23" s="840" t="s">
        <v>443</v>
      </c>
      <c r="J23" s="839" t="s">
        <v>443</v>
      </c>
      <c r="K23" s="838"/>
      <c r="L23" s="620"/>
      <c r="W23" s="577"/>
    </row>
    <row r="24" spans="1:23" s="14361" customFormat="1" ht="22.5" hidden="1" customHeight="1">
      <c r="A24" s="16221"/>
      <c r="C24" s="846"/>
      <c r="D24" s="843" t="s">
        <v>882</v>
      </c>
      <c r="E24" s="482" t="s">
        <v>883</v>
      </c>
      <c r="F24" s="840" t="s">
        <v>884</v>
      </c>
      <c r="G24" s="833"/>
      <c r="H24" s="587"/>
      <c r="I24" s="833"/>
      <c r="J24" s="587"/>
      <c r="K24" s="838"/>
      <c r="L24" s="620"/>
      <c r="W24" s="577"/>
    </row>
    <row r="25" spans="1:23" s="14361" customFormat="1" ht="22.5" hidden="1" customHeight="1">
      <c r="A25" s="16221"/>
      <c r="C25" s="846"/>
      <c r="D25" s="843" t="s">
        <v>885</v>
      </c>
      <c r="E25" s="482" t="s">
        <v>886</v>
      </c>
      <c r="F25" s="840" t="s">
        <v>443</v>
      </c>
      <c r="G25" s="840" t="s">
        <v>443</v>
      </c>
      <c r="H25" s="839" t="s">
        <v>443</v>
      </c>
      <c r="I25" s="840" t="s">
        <v>443</v>
      </c>
      <c r="J25" s="839" t="s">
        <v>443</v>
      </c>
      <c r="K25" s="838"/>
      <c r="L25" s="620"/>
      <c r="W25" s="577"/>
    </row>
    <row r="26" spans="1:23" s="14361" customFormat="1" ht="18.75" hidden="1" customHeight="1">
      <c r="A26" s="16221"/>
      <c r="C26" s="846"/>
      <c r="D26" s="843" t="s">
        <v>887</v>
      </c>
      <c r="E26" s="459" t="s">
        <v>888</v>
      </c>
      <c r="F26" s="840" t="s">
        <v>889</v>
      </c>
      <c r="G26" s="582"/>
      <c r="H26" s="587"/>
      <c r="I26" s="582"/>
      <c r="J26" s="587"/>
      <c r="K26" s="838"/>
      <c r="L26" s="620"/>
      <c r="W26" s="577"/>
    </row>
    <row r="27" spans="1:23" s="14361" customFormat="1" ht="18.75" hidden="1" customHeight="1">
      <c r="A27" s="16221"/>
      <c r="C27" s="846"/>
      <c r="D27" s="843" t="s">
        <v>890</v>
      </c>
      <c r="E27" s="459" t="s">
        <v>891</v>
      </c>
      <c r="F27" s="840" t="s">
        <v>892</v>
      </c>
      <c r="G27" s="582"/>
      <c r="H27" s="587"/>
      <c r="I27" s="582"/>
      <c r="J27" s="587"/>
      <c r="K27" s="838"/>
      <c r="L27" s="620"/>
      <c r="W27" s="577"/>
    </row>
    <row r="28" spans="1:23" s="14361" customFormat="1" ht="18.75" hidden="1" customHeight="1">
      <c r="A28" s="16221"/>
      <c r="C28" s="846"/>
      <c r="D28" s="843" t="s">
        <v>893</v>
      </c>
      <c r="E28" s="482" t="s">
        <v>894</v>
      </c>
      <c r="F28" s="840" t="s">
        <v>443</v>
      </c>
      <c r="G28" s="840" t="s">
        <v>443</v>
      </c>
      <c r="H28" s="839" t="s">
        <v>443</v>
      </c>
      <c r="I28" s="840" t="s">
        <v>443</v>
      </c>
      <c r="J28" s="839" t="s">
        <v>443</v>
      </c>
      <c r="K28" s="838"/>
      <c r="L28" s="620"/>
      <c r="W28" s="577"/>
    </row>
    <row r="29" spans="1:23" s="14361" customFormat="1" ht="18.75" hidden="1" customHeight="1">
      <c r="A29" s="16221"/>
      <c r="C29" s="846"/>
      <c r="D29" s="843" t="s">
        <v>895</v>
      </c>
      <c r="E29" s="459" t="s">
        <v>888</v>
      </c>
      <c r="F29" s="840" t="s">
        <v>896</v>
      </c>
      <c r="G29" s="582"/>
      <c r="H29" s="587"/>
      <c r="I29" s="582"/>
      <c r="J29" s="587"/>
      <c r="K29" s="838"/>
      <c r="L29" s="620"/>
      <c r="W29" s="577"/>
    </row>
    <row r="30" spans="1:23" s="14361" customFormat="1" ht="18.75" hidden="1" customHeight="1">
      <c r="A30" s="16221"/>
      <c r="C30" s="846"/>
      <c r="D30" s="843" t="s">
        <v>897</v>
      </c>
      <c r="E30" s="459" t="s">
        <v>898</v>
      </c>
      <c r="F30" s="840" t="s">
        <v>899</v>
      </c>
      <c r="G30" s="582"/>
      <c r="H30" s="587"/>
      <c r="I30" s="582"/>
      <c r="J30" s="587"/>
      <c r="K30" s="838"/>
      <c r="L30" s="620"/>
      <c r="W30" s="577"/>
    </row>
    <row r="31" spans="1:23" ht="126.75" hidden="1" customHeight="1">
      <c r="A31" s="16221"/>
      <c r="D31" s="843" t="s">
        <v>117</v>
      </c>
      <c r="E31" s="197" t="s">
        <v>900</v>
      </c>
      <c r="F31" s="562" t="s">
        <v>696</v>
      </c>
      <c r="G31" s="463"/>
      <c r="H31" s="564"/>
      <c r="I31" s="463"/>
      <c r="J31" s="564"/>
      <c r="K31" s="206" t="s">
        <v>901</v>
      </c>
      <c r="L31" s="620"/>
    </row>
    <row r="32" spans="1:23" ht="56.25" hidden="1" customHeight="1">
      <c r="A32" s="16221"/>
      <c r="D32" s="843" t="s">
        <v>91</v>
      </c>
      <c r="E32" s="197" t="s">
        <v>902</v>
      </c>
      <c r="F32" s="445" t="s">
        <v>872</v>
      </c>
      <c r="G32" s="463"/>
      <c r="H32" s="564"/>
      <c r="I32" s="463"/>
      <c r="J32" s="564"/>
      <c r="K32" s="206" t="s">
        <v>903</v>
      </c>
      <c r="L32" s="620"/>
    </row>
    <row r="33" spans="1:11" ht="11.25" hidden="1" customHeight="1">
      <c r="A33" s="16221"/>
      <c r="E33" s="566"/>
      <c r="F33" s="104"/>
      <c r="G33" s="104"/>
      <c r="H33" s="104"/>
      <c r="I33" s="104"/>
      <c r="J33" s="104"/>
      <c r="K33" s="104"/>
    </row>
    <row r="34" spans="1:11" ht="12.75" hidden="1" customHeight="1">
      <c r="A34" s="16221"/>
      <c r="D34" s="4">
        <v>1</v>
      </c>
      <c r="E34" s="252" t="s">
        <v>904</v>
      </c>
    </row>
    <row r="35" spans="1:11" ht="11.25" hidden="1" customHeight="1">
      <c r="A35" s="16221"/>
      <c r="D35" s="284"/>
      <c r="E35" s="252" t="s">
        <v>905</v>
      </c>
    </row>
    <row r="36" spans="1:11" s="15863" customFormat="1" ht="11.25" customHeight="1">
      <c r="A36" s="921"/>
      <c r="B36" s="425"/>
      <c r="D36" s="922"/>
      <c r="E36" s="923"/>
    </row>
    <row r="37" spans="1:11" s="14361" customFormat="1" ht="22.5" hidden="1" customHeight="1">
      <c r="A37" s="16221" t="s">
        <v>906</v>
      </c>
      <c r="B37" s="418"/>
      <c r="D37" s="843">
        <v>1</v>
      </c>
      <c r="E37" s="607" t="s">
        <v>907</v>
      </c>
      <c r="F37" s="562" t="s">
        <v>862</v>
      </c>
      <c r="G37" s="463"/>
      <c r="H37" s="426"/>
      <c r="I37" s="463"/>
      <c r="J37" s="426"/>
      <c r="K37" s="206" t="s">
        <v>908</v>
      </c>
    </row>
    <row r="38" spans="1:11" s="14361" customFormat="1" ht="22.5" hidden="1" customHeight="1">
      <c r="A38" s="16221"/>
      <c r="B38" s="418"/>
      <c r="D38" s="571" t="s">
        <v>102</v>
      </c>
      <c r="E38" s="920" t="s">
        <v>909</v>
      </c>
      <c r="F38" s="924" t="s">
        <v>684</v>
      </c>
      <c r="G38" s="924" t="s">
        <v>684</v>
      </c>
      <c r="H38" s="918"/>
      <c r="I38" s="924" t="s">
        <v>684</v>
      </c>
      <c r="J38" s="918"/>
      <c r="K38" s="919"/>
    </row>
    <row r="39" spans="1:11" s="14361" customFormat="1" ht="33.75" hidden="1" customHeight="1">
      <c r="A39" s="16221"/>
      <c r="B39" s="418"/>
      <c r="D39" s="567" t="s">
        <v>763</v>
      </c>
      <c r="E39" s="623" t="s">
        <v>910</v>
      </c>
      <c r="F39" s="562" t="s">
        <v>911</v>
      </c>
      <c r="G39" s="570"/>
      <c r="H39" s="911"/>
      <c r="I39" s="570"/>
      <c r="J39" s="911"/>
      <c r="K39" s="206" t="s">
        <v>912</v>
      </c>
    </row>
    <row r="40" spans="1:11" s="14361" customFormat="1" ht="33.75" hidden="1" customHeight="1">
      <c r="A40" s="16221"/>
      <c r="B40" s="418"/>
      <c r="D40" s="567" t="s">
        <v>766</v>
      </c>
      <c r="E40" s="623" t="s">
        <v>913</v>
      </c>
      <c r="F40" s="915" t="s">
        <v>914</v>
      </c>
      <c r="G40" s="640"/>
      <c r="H40" s="911"/>
      <c r="I40" s="640"/>
      <c r="J40" s="911"/>
      <c r="K40" s="206" t="s">
        <v>915</v>
      </c>
    </row>
    <row r="41" spans="1:11" s="14361" customFormat="1" ht="22.5" hidden="1" customHeight="1">
      <c r="A41" s="16221"/>
      <c r="B41" s="418"/>
      <c r="D41" s="567" t="s">
        <v>89</v>
      </c>
      <c r="E41" s="622" t="s">
        <v>916</v>
      </c>
      <c r="F41" s="562" t="s">
        <v>684</v>
      </c>
      <c r="G41" s="562" t="s">
        <v>684</v>
      </c>
      <c r="H41" s="912"/>
      <c r="I41" s="562" t="s">
        <v>684</v>
      </c>
      <c r="J41" s="912"/>
      <c r="K41" s="219"/>
    </row>
    <row r="42" spans="1:11" s="14361" customFormat="1" ht="45" hidden="1" customHeight="1">
      <c r="A42" s="16221"/>
      <c r="B42" s="418"/>
      <c r="D42" s="567" t="s">
        <v>461</v>
      </c>
      <c r="E42" s="623" t="s">
        <v>917</v>
      </c>
      <c r="F42" s="562" t="s">
        <v>696</v>
      </c>
      <c r="G42" s="463"/>
      <c r="H42" s="912"/>
      <c r="I42" s="463"/>
      <c r="J42" s="912"/>
      <c r="K42" s="219" t="s">
        <v>918</v>
      </c>
    </row>
    <row r="43" spans="1:11" s="14361" customFormat="1" ht="45" hidden="1" customHeight="1">
      <c r="A43" s="16221"/>
      <c r="B43" s="418"/>
      <c r="D43" s="567" t="s">
        <v>469</v>
      </c>
      <c r="E43" s="569" t="s">
        <v>919</v>
      </c>
      <c r="F43" s="916" t="s">
        <v>696</v>
      </c>
      <c r="G43" s="641"/>
      <c r="H43" s="911"/>
      <c r="I43" s="641"/>
      <c r="J43" s="911"/>
      <c r="K43" s="219" t="s">
        <v>920</v>
      </c>
    </row>
    <row r="44" spans="1:11" s="14361" customFormat="1" ht="11.25" hidden="1" customHeight="1">
      <c r="A44" s="16221"/>
      <c r="B44" s="418"/>
      <c r="D44" s="567" t="s">
        <v>90</v>
      </c>
      <c r="E44" s="568" t="s">
        <v>921</v>
      </c>
      <c r="F44" s="562" t="s">
        <v>911</v>
      </c>
      <c r="G44" s="570"/>
      <c r="H44" s="911"/>
      <c r="I44" s="570"/>
      <c r="J44" s="911"/>
      <c r="K44" s="206"/>
    </row>
    <row r="45" spans="1:11" s="14361" customFormat="1" ht="11.25" hidden="1" customHeight="1">
      <c r="A45" s="16221"/>
      <c r="B45" s="418"/>
      <c r="D45" s="567" t="s">
        <v>805</v>
      </c>
      <c r="E45" s="569" t="s">
        <v>922</v>
      </c>
      <c r="F45" s="562" t="s">
        <v>911</v>
      </c>
      <c r="G45" s="570"/>
      <c r="H45" s="911"/>
      <c r="I45" s="570"/>
      <c r="J45" s="911"/>
      <c r="K45" s="206"/>
    </row>
    <row r="46" spans="1:11" s="14361" customFormat="1" ht="11.25" hidden="1" customHeight="1">
      <c r="A46" s="16221"/>
      <c r="B46" s="418"/>
      <c r="D46" s="567" t="s">
        <v>848</v>
      </c>
      <c r="E46" s="569" t="s">
        <v>923</v>
      </c>
      <c r="F46" s="562" t="s">
        <v>911</v>
      </c>
      <c r="G46" s="570"/>
      <c r="H46" s="911"/>
      <c r="I46" s="570"/>
      <c r="J46" s="911"/>
      <c r="K46" s="206"/>
    </row>
    <row r="47" spans="1:11" s="14361" customFormat="1" ht="11.25" hidden="1" customHeight="1">
      <c r="A47" s="16221"/>
      <c r="B47" s="418"/>
      <c r="D47" s="567" t="s">
        <v>851</v>
      </c>
      <c r="E47" s="569" t="s">
        <v>924</v>
      </c>
      <c r="F47" s="562" t="s">
        <v>911</v>
      </c>
      <c r="G47" s="570"/>
      <c r="H47" s="911"/>
      <c r="I47" s="570"/>
      <c r="J47" s="911"/>
      <c r="K47" s="206"/>
    </row>
    <row r="48" spans="1:11" s="14361" customFormat="1" ht="11.25" hidden="1" customHeight="1">
      <c r="A48" s="16221"/>
      <c r="B48" s="418"/>
      <c r="D48" s="567" t="s">
        <v>925</v>
      </c>
      <c r="E48" s="573" t="s">
        <v>926</v>
      </c>
      <c r="F48" s="562" t="s">
        <v>911</v>
      </c>
      <c r="G48" s="570"/>
      <c r="H48" s="911"/>
      <c r="I48" s="570"/>
      <c r="J48" s="911"/>
      <c r="K48" s="206"/>
    </row>
    <row r="49" spans="1:11" s="14361" customFormat="1" ht="11.25" hidden="1" customHeight="1">
      <c r="A49" s="16221"/>
      <c r="B49" s="418"/>
      <c r="D49" s="567" t="s">
        <v>927</v>
      </c>
      <c r="E49" s="573" t="s">
        <v>928</v>
      </c>
      <c r="F49" s="562" t="s">
        <v>911</v>
      </c>
      <c r="G49" s="570"/>
      <c r="H49" s="911"/>
      <c r="I49" s="570"/>
      <c r="J49" s="911"/>
      <c r="K49" s="206"/>
    </row>
    <row r="50" spans="1:11" s="14361" customFormat="1" ht="11.25" hidden="1" customHeight="1">
      <c r="A50" s="16221"/>
      <c r="B50" s="418"/>
      <c r="D50" s="567" t="s">
        <v>929</v>
      </c>
      <c r="E50" s="569" t="s">
        <v>930</v>
      </c>
      <c r="F50" s="562" t="s">
        <v>911</v>
      </c>
      <c r="G50" s="570"/>
      <c r="H50" s="911"/>
      <c r="I50" s="570"/>
      <c r="J50" s="911"/>
      <c r="K50" s="206"/>
    </row>
    <row r="51" spans="1:11" s="14361" customFormat="1" ht="11.25" hidden="1" customHeight="1">
      <c r="A51" s="16221"/>
      <c r="B51" s="418"/>
      <c r="D51" s="567" t="s">
        <v>931</v>
      </c>
      <c r="E51" s="569" t="s">
        <v>932</v>
      </c>
      <c r="F51" s="562" t="s">
        <v>911</v>
      </c>
      <c r="G51" s="570"/>
      <c r="H51" s="911"/>
      <c r="I51" s="570"/>
      <c r="J51" s="911"/>
      <c r="K51" s="206"/>
    </row>
    <row r="52" spans="1:11" s="14361" customFormat="1" ht="45" hidden="1" customHeight="1">
      <c r="A52" s="16221"/>
      <c r="B52" s="418"/>
      <c r="D52" s="567" t="s">
        <v>117</v>
      </c>
      <c r="E52" s="568" t="s">
        <v>933</v>
      </c>
      <c r="F52" s="562" t="s">
        <v>911</v>
      </c>
      <c r="G52" s="570"/>
      <c r="H52" s="911"/>
      <c r="I52" s="570"/>
      <c r="J52" s="911"/>
      <c r="K52" s="206"/>
    </row>
    <row r="53" spans="1:11" s="14361" customFormat="1" ht="11.25" hidden="1" customHeight="1">
      <c r="A53" s="16221"/>
      <c r="B53" s="418"/>
      <c r="D53" s="567" t="s">
        <v>450</v>
      </c>
      <c r="E53" s="569" t="s">
        <v>922</v>
      </c>
      <c r="F53" s="562" t="s">
        <v>911</v>
      </c>
      <c r="G53" s="570"/>
      <c r="H53" s="911"/>
      <c r="I53" s="570"/>
      <c r="J53" s="911"/>
      <c r="K53" s="206"/>
    </row>
    <row r="54" spans="1:11" s="14361" customFormat="1" ht="11.25" hidden="1" customHeight="1">
      <c r="A54" s="16221"/>
      <c r="B54" s="418"/>
      <c r="D54" s="567" t="s">
        <v>934</v>
      </c>
      <c r="E54" s="569" t="s">
        <v>923</v>
      </c>
      <c r="F54" s="562" t="s">
        <v>911</v>
      </c>
      <c r="G54" s="570"/>
      <c r="H54" s="911"/>
      <c r="I54" s="570"/>
      <c r="J54" s="911"/>
      <c r="K54" s="206"/>
    </row>
    <row r="55" spans="1:11" s="14361" customFormat="1" ht="11.25" hidden="1" customHeight="1">
      <c r="A55" s="16221"/>
      <c r="B55" s="418"/>
      <c r="D55" s="567" t="s">
        <v>935</v>
      </c>
      <c r="E55" s="569" t="s">
        <v>924</v>
      </c>
      <c r="F55" s="562" t="s">
        <v>911</v>
      </c>
      <c r="G55" s="570"/>
      <c r="H55" s="911"/>
      <c r="I55" s="570"/>
      <c r="J55" s="911"/>
      <c r="K55" s="206"/>
    </row>
    <row r="56" spans="1:11" s="14361" customFormat="1" ht="11.25" hidden="1" customHeight="1">
      <c r="A56" s="16221"/>
      <c r="B56" s="418"/>
      <c r="D56" s="567" t="s">
        <v>936</v>
      </c>
      <c r="E56" s="573" t="s">
        <v>926</v>
      </c>
      <c r="F56" s="562" t="s">
        <v>911</v>
      </c>
      <c r="G56" s="570"/>
      <c r="H56" s="911"/>
      <c r="I56" s="570"/>
      <c r="J56" s="911"/>
      <c r="K56" s="206"/>
    </row>
    <row r="57" spans="1:11" s="14361" customFormat="1" ht="11.25" hidden="1" customHeight="1">
      <c r="A57" s="16221"/>
      <c r="B57" s="418"/>
      <c r="D57" s="567" t="s">
        <v>937</v>
      </c>
      <c r="E57" s="573" t="s">
        <v>928</v>
      </c>
      <c r="F57" s="562" t="s">
        <v>911</v>
      </c>
      <c r="G57" s="570"/>
      <c r="H57" s="911"/>
      <c r="I57" s="570"/>
      <c r="J57" s="911"/>
      <c r="K57" s="206"/>
    </row>
    <row r="58" spans="1:11" s="14361" customFormat="1" ht="11.25" hidden="1" customHeight="1">
      <c r="A58" s="16221"/>
      <c r="B58" s="418"/>
      <c r="D58" s="567" t="s">
        <v>938</v>
      </c>
      <c r="E58" s="569" t="s">
        <v>930</v>
      </c>
      <c r="F58" s="562" t="s">
        <v>911</v>
      </c>
      <c r="G58" s="570"/>
      <c r="H58" s="911"/>
      <c r="I58" s="570"/>
      <c r="J58" s="911"/>
      <c r="K58" s="206"/>
    </row>
    <row r="59" spans="1:11" s="14361" customFormat="1" ht="11.25" hidden="1" customHeight="1">
      <c r="A59" s="16221"/>
      <c r="B59" s="418"/>
      <c r="D59" s="567" t="s">
        <v>939</v>
      </c>
      <c r="E59" s="569" t="s">
        <v>932</v>
      </c>
      <c r="F59" s="562" t="s">
        <v>911</v>
      </c>
      <c r="G59" s="570"/>
      <c r="H59" s="911"/>
      <c r="I59" s="570"/>
      <c r="J59" s="911"/>
      <c r="K59" s="206"/>
    </row>
    <row r="60" spans="1:11" s="14361" customFormat="1" ht="33.75" hidden="1" customHeight="1">
      <c r="A60" s="16221"/>
      <c r="B60" s="418"/>
      <c r="D60" s="567" t="s">
        <v>91</v>
      </c>
      <c r="E60" s="568" t="s">
        <v>940</v>
      </c>
      <c r="F60" s="621" t="s">
        <v>696</v>
      </c>
      <c r="G60" s="641"/>
      <c r="H60" s="911"/>
      <c r="I60" s="641"/>
      <c r="J60" s="911"/>
      <c r="K60" s="219" t="s">
        <v>941</v>
      </c>
    </row>
    <row r="61" spans="1:11" s="14361" customFormat="1" ht="33.75" hidden="1" customHeight="1">
      <c r="A61" s="16221"/>
      <c r="B61" s="418"/>
      <c r="D61" s="567" t="s">
        <v>92</v>
      </c>
      <c r="E61" s="568" t="s">
        <v>942</v>
      </c>
      <c r="F61" s="626" t="s">
        <v>872</v>
      </c>
      <c r="G61" s="570"/>
      <c r="H61" s="911"/>
      <c r="I61" s="570"/>
      <c r="J61" s="911"/>
      <c r="K61" s="206"/>
    </row>
    <row r="62" spans="1:11" s="14361" customFormat="1" ht="22.5" hidden="1" customHeight="1">
      <c r="A62" s="16221"/>
      <c r="B62" s="418" t="s">
        <v>726</v>
      </c>
      <c r="D62" s="567" t="s">
        <v>132</v>
      </c>
      <c r="E62" s="568" t="s">
        <v>943</v>
      </c>
      <c r="F62" s="626" t="s">
        <v>443</v>
      </c>
      <c r="G62" s="297"/>
      <c r="H62" s="911"/>
      <c r="I62" s="297"/>
      <c r="J62" s="911"/>
      <c r="K62" s="206" t="s">
        <v>944</v>
      </c>
    </row>
    <row r="63" spans="1:11" s="14361" customFormat="1" ht="45" hidden="1" customHeight="1">
      <c r="A63" s="16221"/>
      <c r="B63" s="418" t="s">
        <v>726</v>
      </c>
      <c r="D63" s="567" t="s">
        <v>945</v>
      </c>
      <c r="E63" s="569" t="s">
        <v>946</v>
      </c>
      <c r="F63" s="621" t="s">
        <v>443</v>
      </c>
      <c r="G63" s="297"/>
      <c r="H63" s="911"/>
      <c r="I63" s="297"/>
      <c r="J63" s="911"/>
      <c r="K63" s="206" t="s">
        <v>944</v>
      </c>
    </row>
    <row r="64" spans="1:11" s="15863" customFormat="1" ht="11.25" customHeight="1">
      <c r="A64" s="921"/>
      <c r="B64" s="425"/>
      <c r="D64" s="922"/>
      <c r="E64" s="923"/>
    </row>
    <row r="65" spans="1:11" s="14361" customFormat="1" ht="22.5" customHeight="1">
      <c r="A65" s="16221" t="s">
        <v>947</v>
      </c>
      <c r="B65" s="418"/>
      <c r="D65" s="567">
        <v>1</v>
      </c>
      <c r="E65" s="643" t="s">
        <v>948</v>
      </c>
      <c r="F65" s="639" t="s">
        <v>862</v>
      </c>
      <c r="G65" s="640"/>
      <c r="H65" s="917"/>
      <c r="I65" s="640"/>
      <c r="J65" s="917"/>
      <c r="K65" s="218" t="s">
        <v>949</v>
      </c>
    </row>
    <row r="66" spans="1:11" s="14361" customFormat="1" ht="56.25" customHeight="1">
      <c r="A66" s="16221"/>
      <c r="B66" s="418"/>
      <c r="D66" s="642" t="s">
        <v>102</v>
      </c>
      <c r="E66" s="607" t="s">
        <v>950</v>
      </c>
      <c r="F66" s="562" t="s">
        <v>684</v>
      </c>
      <c r="G66" s="562" t="s">
        <v>684</v>
      </c>
      <c r="H66" s="426"/>
      <c r="I66" s="562" t="s">
        <v>684</v>
      </c>
      <c r="J66" s="426"/>
      <c r="K66" s="206"/>
    </row>
    <row r="67" spans="1:11" s="14361" customFormat="1" ht="33.75" customHeight="1">
      <c r="A67" s="16221"/>
      <c r="B67" s="418"/>
      <c r="D67" s="642" t="s">
        <v>760</v>
      </c>
      <c r="E67" s="844" t="s">
        <v>951</v>
      </c>
      <c r="F67" s="562" t="s">
        <v>914</v>
      </c>
      <c r="G67" s="627"/>
      <c r="H67" s="426"/>
      <c r="I67" s="627"/>
      <c r="J67" s="426"/>
      <c r="K67" s="206"/>
    </row>
    <row r="68" spans="1:11" s="14361" customFormat="1" ht="22.5" customHeight="1">
      <c r="A68" s="16221"/>
      <c r="B68" s="418"/>
      <c r="D68" s="642" t="s">
        <v>444</v>
      </c>
      <c r="E68" s="844" t="s">
        <v>952</v>
      </c>
      <c r="F68" s="562" t="s">
        <v>914</v>
      </c>
      <c r="G68" s="627"/>
      <c r="H68" s="426"/>
      <c r="I68" s="627"/>
      <c r="J68" s="426"/>
      <c r="K68" s="206"/>
    </row>
    <row r="69" spans="1:11" s="14361" customFormat="1" ht="22.5" customHeight="1">
      <c r="A69" s="16221"/>
      <c r="B69" s="418"/>
      <c r="D69" s="642" t="s">
        <v>447</v>
      </c>
      <c r="E69" s="844" t="s">
        <v>953</v>
      </c>
      <c r="F69" s="621" t="s">
        <v>696</v>
      </c>
      <c r="G69" s="641"/>
      <c r="H69" s="426"/>
      <c r="I69" s="641"/>
      <c r="J69" s="426"/>
      <c r="K69" s="206"/>
    </row>
    <row r="70" spans="1:11" s="14361" customFormat="1" ht="22.5" customHeight="1">
      <c r="A70" s="16221"/>
      <c r="B70" s="418"/>
      <c r="D70" s="642" t="s">
        <v>780</v>
      </c>
      <c r="E70" s="844" t="s">
        <v>954</v>
      </c>
      <c r="F70" s="621" t="s">
        <v>696</v>
      </c>
      <c r="G70" s="641"/>
      <c r="H70" s="426"/>
      <c r="I70" s="641"/>
      <c r="J70" s="426"/>
      <c r="K70" s="206"/>
    </row>
    <row r="71" spans="1:11" s="14361" customFormat="1" ht="22.5" customHeight="1">
      <c r="A71" s="16221"/>
      <c r="B71" s="418"/>
      <c r="D71" s="567" t="s">
        <v>89</v>
      </c>
      <c r="E71" s="568" t="s">
        <v>955</v>
      </c>
      <c r="F71" s="562" t="s">
        <v>914</v>
      </c>
      <c r="G71" s="463"/>
      <c r="H71" s="918"/>
      <c r="I71" s="463"/>
      <c r="J71" s="918"/>
      <c r="K71" s="219"/>
    </row>
    <row r="72" spans="1:11" s="14361" customFormat="1" ht="56.25" customHeight="1">
      <c r="A72" s="16221"/>
      <c r="B72" s="418"/>
      <c r="D72" s="567" t="s">
        <v>90</v>
      </c>
      <c r="E72" s="568" t="s">
        <v>956</v>
      </c>
      <c r="F72" s="621" t="s">
        <v>696</v>
      </c>
      <c r="G72" s="641"/>
      <c r="H72" s="911"/>
      <c r="I72" s="641"/>
      <c r="J72" s="911"/>
      <c r="K72" s="219"/>
    </row>
    <row r="73" spans="1:11" s="14361" customFormat="1" ht="33.75" customHeight="1">
      <c r="A73" s="16221"/>
      <c r="B73" s="418"/>
      <c r="D73" s="567" t="s">
        <v>117</v>
      </c>
      <c r="E73" s="568" t="s">
        <v>957</v>
      </c>
      <c r="F73" s="626" t="s">
        <v>872</v>
      </c>
      <c r="G73" s="570"/>
      <c r="H73" s="911"/>
      <c r="I73" s="570"/>
      <c r="J73" s="911"/>
      <c r="K73" s="206"/>
    </row>
    <row r="74" spans="1:11" s="14361" customFormat="1" ht="22.5" customHeight="1">
      <c r="A74" s="16221"/>
      <c r="B74" s="418" t="s">
        <v>726</v>
      </c>
      <c r="D74" s="567" t="s">
        <v>91</v>
      </c>
      <c r="E74" s="568" t="s">
        <v>958</v>
      </c>
      <c r="F74" s="626" t="s">
        <v>443</v>
      </c>
      <c r="G74" s="297"/>
      <c r="H74" s="911"/>
      <c r="I74" s="297"/>
      <c r="J74" s="911"/>
      <c r="K74" s="206" t="s">
        <v>944</v>
      </c>
    </row>
    <row r="75" spans="1:11" s="14361" customFormat="1" ht="45" customHeight="1">
      <c r="A75" s="16221"/>
      <c r="B75" s="418" t="s">
        <v>726</v>
      </c>
      <c r="D75" s="567" t="s">
        <v>959</v>
      </c>
      <c r="E75" s="569" t="s">
        <v>960</v>
      </c>
      <c r="F75" s="621" t="s">
        <v>443</v>
      </c>
      <c r="G75" s="297"/>
      <c r="H75" s="911"/>
      <c r="I75" s="297"/>
      <c r="J75" s="911"/>
      <c r="K75" s="206" t="s">
        <v>944</v>
      </c>
    </row>
    <row r="76" spans="1:11" s="15863" customFormat="1" ht="11.25" customHeight="1">
      <c r="A76" s="921"/>
      <c r="B76" s="425"/>
      <c r="D76" s="922"/>
      <c r="E76" s="923"/>
    </row>
    <row r="77" spans="1:11" s="14361" customFormat="1" ht="11.25" hidden="1" customHeight="1">
      <c r="A77" s="16221" t="s">
        <v>961</v>
      </c>
      <c r="B77" s="418"/>
      <c r="D77" s="567">
        <v>1</v>
      </c>
      <c r="E77" s="568" t="s">
        <v>962</v>
      </c>
      <c r="F77" s="621" t="s">
        <v>862</v>
      </c>
      <c r="G77" s="624"/>
      <c r="H77" s="911"/>
      <c r="I77" s="624"/>
      <c r="J77" s="911"/>
      <c r="K77" s="206" t="s">
        <v>963</v>
      </c>
    </row>
    <row r="78" spans="1:11" s="14361" customFormat="1" ht="11.25" hidden="1" customHeight="1">
      <c r="A78" s="16221"/>
      <c r="B78" s="418"/>
      <c r="D78" s="567" t="s">
        <v>102</v>
      </c>
      <c r="E78" s="568" t="s">
        <v>964</v>
      </c>
      <c r="F78" s="621" t="s">
        <v>862</v>
      </c>
      <c r="G78" s="624"/>
      <c r="H78" s="911"/>
      <c r="I78" s="624"/>
      <c r="J78" s="911"/>
      <c r="K78" s="206" t="s">
        <v>965</v>
      </c>
    </row>
    <row r="79" spans="1:11" s="14361" customFormat="1" ht="22.5" hidden="1" customHeight="1">
      <c r="A79" s="16221"/>
      <c r="B79" s="418"/>
      <c r="D79" s="567" t="s">
        <v>89</v>
      </c>
      <c r="E79" s="622" t="s">
        <v>966</v>
      </c>
      <c r="F79" s="562" t="s">
        <v>911</v>
      </c>
      <c r="G79" s="624"/>
      <c r="H79" s="911"/>
      <c r="I79" s="624"/>
      <c r="J79" s="911"/>
      <c r="K79" s="206" t="s">
        <v>967</v>
      </c>
    </row>
    <row r="80" spans="1:11" s="14361" customFormat="1" ht="11.25" hidden="1" customHeight="1">
      <c r="A80" s="16221"/>
      <c r="B80" s="418"/>
      <c r="D80" s="567" t="s">
        <v>461</v>
      </c>
      <c r="E80" s="623" t="s">
        <v>968</v>
      </c>
      <c r="F80" s="562" t="s">
        <v>911</v>
      </c>
      <c r="G80" s="624"/>
      <c r="H80" s="911"/>
      <c r="I80" s="624"/>
      <c r="J80" s="911"/>
      <c r="K80" s="206"/>
    </row>
    <row r="81" spans="1:11" s="14361" customFormat="1" ht="11.25" hidden="1" customHeight="1">
      <c r="A81" s="16221"/>
      <c r="B81" s="418"/>
      <c r="D81" s="567" t="s">
        <v>469</v>
      </c>
      <c r="E81" s="623" t="s">
        <v>969</v>
      </c>
      <c r="F81" s="562" t="s">
        <v>911</v>
      </c>
      <c r="G81" s="624"/>
      <c r="H81" s="911"/>
      <c r="I81" s="624"/>
      <c r="J81" s="911"/>
      <c r="K81" s="206"/>
    </row>
    <row r="82" spans="1:11" s="14361" customFormat="1" ht="11.25" hidden="1" customHeight="1">
      <c r="A82" s="16221"/>
      <c r="B82" s="418"/>
      <c r="D82" s="567" t="s">
        <v>471</v>
      </c>
      <c r="E82" s="623" t="s">
        <v>970</v>
      </c>
      <c r="F82" s="562" t="s">
        <v>911</v>
      </c>
      <c r="G82" s="624"/>
      <c r="H82" s="911"/>
      <c r="I82" s="624"/>
      <c r="J82" s="911"/>
      <c r="K82" s="206"/>
    </row>
    <row r="83" spans="1:11" s="14361" customFormat="1" ht="11.25" hidden="1" customHeight="1">
      <c r="A83" s="16221"/>
      <c r="B83" s="418"/>
      <c r="D83" s="567" t="s">
        <v>473</v>
      </c>
      <c r="E83" s="623" t="s">
        <v>971</v>
      </c>
      <c r="F83" s="562" t="s">
        <v>911</v>
      </c>
      <c r="G83" s="624"/>
      <c r="H83" s="911"/>
      <c r="I83" s="624"/>
      <c r="J83" s="911"/>
      <c r="K83" s="206"/>
    </row>
    <row r="84" spans="1:11" s="14361" customFormat="1" ht="11.25" hidden="1" customHeight="1">
      <c r="A84" s="16221"/>
      <c r="B84" s="418"/>
      <c r="D84" s="567" t="s">
        <v>972</v>
      </c>
      <c r="E84" s="623" t="s">
        <v>973</v>
      </c>
      <c r="F84" s="562" t="s">
        <v>911</v>
      </c>
      <c r="G84" s="624"/>
      <c r="H84" s="911"/>
      <c r="I84" s="624"/>
      <c r="J84" s="911"/>
      <c r="K84" s="206"/>
    </row>
    <row r="85" spans="1:11" s="14361" customFormat="1" ht="11.25" hidden="1" customHeight="1">
      <c r="A85" s="16221"/>
      <c r="B85" s="418"/>
      <c r="D85" s="567" t="s">
        <v>974</v>
      </c>
      <c r="E85" s="623" t="s">
        <v>975</v>
      </c>
      <c r="F85" s="562" t="s">
        <v>911</v>
      </c>
      <c r="G85" s="624"/>
      <c r="H85" s="911"/>
      <c r="I85" s="624"/>
      <c r="J85" s="911"/>
      <c r="K85" s="206"/>
    </row>
    <row r="86" spans="1:11" s="14361" customFormat="1" ht="11.25" hidden="1" customHeight="1">
      <c r="A86" s="16221"/>
      <c r="B86" s="418"/>
      <c r="D86" s="567" t="s">
        <v>976</v>
      </c>
      <c r="E86" s="623" t="s">
        <v>977</v>
      </c>
      <c r="F86" s="562" t="s">
        <v>911</v>
      </c>
      <c r="G86" s="624"/>
      <c r="H86" s="911"/>
      <c r="I86" s="624"/>
      <c r="J86" s="911"/>
      <c r="K86" s="206"/>
    </row>
    <row r="87" spans="1:11" s="14361" customFormat="1" ht="45" hidden="1" customHeight="1">
      <c r="A87" s="16221"/>
      <c r="B87" s="418"/>
      <c r="D87" s="567" t="s">
        <v>90</v>
      </c>
      <c r="E87" s="568" t="s">
        <v>978</v>
      </c>
      <c r="F87" s="562" t="s">
        <v>911</v>
      </c>
      <c r="G87" s="624"/>
      <c r="H87" s="911"/>
      <c r="I87" s="624"/>
      <c r="J87" s="911"/>
      <c r="K87" s="206" t="s">
        <v>979</v>
      </c>
    </row>
    <row r="88" spans="1:11" s="14361" customFormat="1" ht="11.25" hidden="1" customHeight="1">
      <c r="A88" s="16221"/>
      <c r="B88" s="418"/>
      <c r="D88" s="567" t="s">
        <v>805</v>
      </c>
      <c r="E88" s="623" t="s">
        <v>968</v>
      </c>
      <c r="F88" s="562" t="s">
        <v>911</v>
      </c>
      <c r="G88" s="624"/>
      <c r="H88" s="911"/>
      <c r="I88" s="624"/>
      <c r="J88" s="911"/>
      <c r="K88" s="206"/>
    </row>
    <row r="89" spans="1:11" s="14361" customFormat="1" ht="11.25" hidden="1" customHeight="1">
      <c r="A89" s="16221"/>
      <c r="B89" s="418"/>
      <c r="D89" s="567" t="s">
        <v>848</v>
      </c>
      <c r="E89" s="623" t="s">
        <v>969</v>
      </c>
      <c r="F89" s="562" t="s">
        <v>911</v>
      </c>
      <c r="G89" s="624"/>
      <c r="H89" s="911"/>
      <c r="I89" s="624"/>
      <c r="J89" s="911"/>
      <c r="K89" s="206"/>
    </row>
    <row r="90" spans="1:11" s="14361" customFormat="1" ht="11.25" hidden="1" customHeight="1">
      <c r="A90" s="16221"/>
      <c r="B90" s="418"/>
      <c r="D90" s="567" t="s">
        <v>851</v>
      </c>
      <c r="E90" s="623" t="s">
        <v>970</v>
      </c>
      <c r="F90" s="562" t="s">
        <v>911</v>
      </c>
      <c r="G90" s="624"/>
      <c r="H90" s="911"/>
      <c r="I90" s="624"/>
      <c r="J90" s="911"/>
      <c r="K90" s="206"/>
    </row>
    <row r="91" spans="1:11" s="14361" customFormat="1" ht="11.25" hidden="1" customHeight="1">
      <c r="A91" s="16221"/>
      <c r="B91" s="418"/>
      <c r="D91" s="567" t="s">
        <v>929</v>
      </c>
      <c r="E91" s="623" t="s">
        <v>971</v>
      </c>
      <c r="F91" s="562" t="s">
        <v>911</v>
      </c>
      <c r="G91" s="624"/>
      <c r="H91" s="911"/>
      <c r="I91" s="624"/>
      <c r="J91" s="911"/>
      <c r="K91" s="206"/>
    </row>
    <row r="92" spans="1:11" s="14361" customFormat="1" ht="11.25" hidden="1" customHeight="1">
      <c r="A92" s="16221"/>
      <c r="B92" s="418"/>
      <c r="D92" s="567" t="s">
        <v>931</v>
      </c>
      <c r="E92" s="623" t="s">
        <v>973</v>
      </c>
      <c r="F92" s="562" t="s">
        <v>911</v>
      </c>
      <c r="G92" s="624"/>
      <c r="H92" s="911"/>
      <c r="I92" s="624"/>
      <c r="J92" s="911"/>
      <c r="K92" s="206"/>
    </row>
    <row r="93" spans="1:11" s="14361" customFormat="1" ht="11.25" hidden="1" customHeight="1">
      <c r="A93" s="16221"/>
      <c r="B93" s="418"/>
      <c r="D93" s="567" t="s">
        <v>980</v>
      </c>
      <c r="E93" s="623" t="s">
        <v>975</v>
      </c>
      <c r="F93" s="562" t="s">
        <v>911</v>
      </c>
      <c r="G93" s="624"/>
      <c r="H93" s="911"/>
      <c r="I93" s="624"/>
      <c r="J93" s="911"/>
      <c r="K93" s="206"/>
    </row>
    <row r="94" spans="1:11" s="14361" customFormat="1" ht="11.25" hidden="1" customHeight="1">
      <c r="A94" s="16221"/>
      <c r="B94" s="418"/>
      <c r="D94" s="567" t="s">
        <v>981</v>
      </c>
      <c r="E94" s="623" t="s">
        <v>977</v>
      </c>
      <c r="F94" s="562" t="s">
        <v>911</v>
      </c>
      <c r="G94" s="624"/>
      <c r="H94" s="911"/>
      <c r="I94" s="624"/>
      <c r="J94" s="911"/>
      <c r="K94" s="206"/>
    </row>
    <row r="95" spans="1:11" s="14361" customFormat="1" ht="24.75" hidden="1" customHeight="1">
      <c r="A95" s="16221"/>
      <c r="B95" s="418"/>
      <c r="D95" s="567" t="s">
        <v>117</v>
      </c>
      <c r="E95" s="568" t="s">
        <v>982</v>
      </c>
      <c r="F95" s="625" t="s">
        <v>696</v>
      </c>
      <c r="G95" s="627"/>
      <c r="H95" s="911"/>
      <c r="I95" s="627"/>
      <c r="J95" s="911"/>
      <c r="K95" s="206" t="s">
        <v>983</v>
      </c>
    </row>
    <row r="96" spans="1:11" s="14361" customFormat="1" ht="33.75" hidden="1" customHeight="1">
      <c r="A96" s="16221"/>
      <c r="B96" s="418"/>
      <c r="D96" s="567" t="s">
        <v>91</v>
      </c>
      <c r="E96" s="568" t="s">
        <v>984</v>
      </c>
      <c r="F96" s="626" t="s">
        <v>872</v>
      </c>
      <c r="G96" s="628"/>
      <c r="H96" s="911"/>
      <c r="I96" s="628"/>
      <c r="J96" s="911"/>
      <c r="K96" s="206"/>
    </row>
    <row r="97" spans="1:11" s="14361" customFormat="1" ht="22.5" hidden="1" customHeight="1">
      <c r="A97" s="16221"/>
      <c r="B97" s="418" t="s">
        <v>726</v>
      </c>
      <c r="D97" s="567" t="s">
        <v>92</v>
      </c>
      <c r="E97" s="568" t="s">
        <v>985</v>
      </c>
      <c r="F97" s="626" t="s">
        <v>443</v>
      </c>
      <c r="G97" s="300"/>
      <c r="H97" s="911"/>
      <c r="I97" s="300"/>
      <c r="J97" s="911"/>
      <c r="K97" s="206" t="s">
        <v>944</v>
      </c>
    </row>
    <row r="98" spans="1:11" s="14361" customFormat="1" ht="45" hidden="1" customHeight="1">
      <c r="A98" s="16221"/>
      <c r="B98" s="418" t="s">
        <v>726</v>
      </c>
      <c r="D98" s="567" t="s">
        <v>986</v>
      </c>
      <c r="E98" s="569" t="s">
        <v>987</v>
      </c>
      <c r="F98" s="621" t="s">
        <v>443</v>
      </c>
      <c r="G98" s="300"/>
      <c r="H98" s="911"/>
      <c r="I98" s="300"/>
      <c r="J98" s="911"/>
      <c r="K98" s="206" t="s">
        <v>944</v>
      </c>
    </row>
    <row r="99" spans="1:11" s="14361" customFormat="1" ht="95.25" hidden="1" customHeight="1">
      <c r="A99" s="16221"/>
      <c r="B99" s="418" t="s">
        <v>726</v>
      </c>
      <c r="D99" s="567" t="s">
        <v>132</v>
      </c>
      <c r="E99" s="568" t="s">
        <v>988</v>
      </c>
      <c r="F99" s="621" t="s">
        <v>443</v>
      </c>
      <c r="G99" s="300"/>
      <c r="H99" s="911"/>
      <c r="I99" s="300"/>
      <c r="J99" s="911"/>
      <c r="K99" s="206" t="s">
        <v>944</v>
      </c>
    </row>
    <row r="100" spans="1:11" s="14361" customFormat="1" ht="22.5" hidden="1" customHeight="1">
      <c r="A100" s="16221"/>
      <c r="B100" s="418" t="s">
        <v>726</v>
      </c>
      <c r="D100" s="567" t="s">
        <v>136</v>
      </c>
      <c r="E100" s="568" t="s">
        <v>989</v>
      </c>
      <c r="F100" s="621" t="s">
        <v>443</v>
      </c>
      <c r="G100" s="300"/>
      <c r="H100" s="911"/>
      <c r="I100" s="300"/>
      <c r="J100" s="911"/>
      <c r="K100" s="206" t="s">
        <v>944</v>
      </c>
    </row>
    <row r="101" spans="1:11" s="15863" customFormat="1" ht="11.25" customHeight="1">
      <c r="A101" s="921"/>
      <c r="B101" s="425"/>
      <c r="D101" s="922"/>
      <c r="E101" s="92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4406" hidden="1" customWidth="1"/>
    <col min="2" max="2" width="9.140625" style="14409" hidden="1" customWidth="1"/>
    <col min="3" max="3" width="4.7109375" style="15868" customWidth="1"/>
    <col min="4" max="4" width="6.28515625" style="14409" customWidth="1"/>
    <col min="5" max="5" width="36.7109375" style="14409" customWidth="1"/>
    <col min="6" max="6" width="9.5703125" style="14409" customWidth="1"/>
    <col min="7" max="7" width="25.7109375" style="14361" hidden="1" customWidth="1"/>
    <col min="8" max="8" width="33.7109375" style="14361" hidden="1" customWidth="1"/>
    <col min="9" max="9" width="25.7109375" style="14409" customWidth="1"/>
    <col min="10" max="10" width="33.7109375" style="14409" customWidth="1"/>
    <col min="11" max="11" width="93.42578125" style="14362" customWidth="1"/>
    <col min="12" max="20" width="10.5703125" style="14409"/>
    <col min="21" max="21" width="10.5703125" style="15869"/>
  </cols>
  <sheetData>
    <row r="1" spans="1:21" s="14362" customFormat="1" ht="15" hidden="1" customHeight="1">
      <c r="C1" s="574"/>
      <c r="G1" s="332">
        <v>4</v>
      </c>
      <c r="I1" s="332">
        <v>4</v>
      </c>
      <c r="U1" s="334"/>
    </row>
    <row r="2" spans="1:21" s="14362" customFormat="1" ht="15" hidden="1" customHeight="1">
      <c r="C2" s="574"/>
      <c r="U2" s="334"/>
    </row>
    <row r="3" spans="1:21" ht="22.5" hidden="1" customHeight="1">
      <c r="A3" s="412"/>
      <c r="B3" s="16226"/>
      <c r="C3" s="16227" t="s">
        <v>103</v>
      </c>
      <c r="D3" s="590" t="str">
        <f>B3&amp;".1"</f>
        <v>.1</v>
      </c>
      <c r="E3" s="591" t="s">
        <v>990</v>
      </c>
      <c r="F3" s="592" t="s">
        <v>443</v>
      </c>
      <c r="G3" s="587"/>
      <c r="H3" s="316"/>
      <c r="I3" s="587"/>
      <c r="J3" s="316"/>
      <c r="K3" s="206" t="s">
        <v>991</v>
      </c>
    </row>
    <row r="4" spans="1:21" ht="15" hidden="1" customHeight="1">
      <c r="A4" s="412"/>
      <c r="B4" s="16226"/>
      <c r="C4" s="16227"/>
      <c r="D4" s="590" t="str">
        <f>B3&amp;".2"</f>
        <v>.2</v>
      </c>
      <c r="E4" s="591" t="s">
        <v>992</v>
      </c>
      <c r="F4" s="592" t="s">
        <v>443</v>
      </c>
      <c r="G4" s="1600" t="s">
        <v>24</v>
      </c>
      <c r="H4" s="316"/>
      <c r="I4" s="1600" t="s">
        <v>24</v>
      </c>
      <c r="J4" s="316"/>
      <c r="K4" s="206" t="s">
        <v>993</v>
      </c>
    </row>
    <row r="5" spans="1:21" s="14362" customFormat="1" ht="15" hidden="1" customHeight="1">
      <c r="C5" s="574"/>
      <c r="U5" s="334"/>
    </row>
    <row r="6" spans="1:21" ht="22.5" hidden="1" customHeight="1">
      <c r="A6" s="412"/>
      <c r="B6" s="16226"/>
      <c r="C6" s="16227" t="s">
        <v>103</v>
      </c>
      <c r="D6" s="590" t="str">
        <f>B6&amp;".1"</f>
        <v>.1</v>
      </c>
      <c r="E6" s="591" t="s">
        <v>994</v>
      </c>
      <c r="F6" s="592" t="s">
        <v>443</v>
      </c>
      <c r="G6" s="587"/>
      <c r="H6" s="316"/>
      <c r="I6" s="587"/>
      <c r="J6" s="316"/>
      <c r="K6" s="206" t="s">
        <v>995</v>
      </c>
    </row>
    <row r="7" spans="1:21" ht="15" hidden="1" customHeight="1">
      <c r="A7" s="412"/>
      <c r="B7" s="16226"/>
      <c r="C7" s="16227"/>
      <c r="D7" s="590" t="str">
        <f>B6&amp;".2"</f>
        <v>.2</v>
      </c>
      <c r="E7" s="591" t="s">
        <v>992</v>
      </c>
      <c r="F7" s="592" t="s">
        <v>443</v>
      </c>
      <c r="G7" s="1600" t="s">
        <v>24</v>
      </c>
      <c r="H7" s="316"/>
      <c r="I7" s="1600" t="s">
        <v>24</v>
      </c>
      <c r="J7" s="316"/>
      <c r="K7" s="206" t="s">
        <v>993</v>
      </c>
    </row>
    <row r="8" spans="1:21" s="14362" customFormat="1" ht="15" hidden="1" customHeight="1">
      <c r="C8" s="574"/>
      <c r="U8" s="334"/>
    </row>
    <row r="9" spans="1:21" ht="22.5" hidden="1" customHeight="1">
      <c r="A9" s="412"/>
      <c r="B9" s="16226"/>
      <c r="C9" s="16227" t="s">
        <v>103</v>
      </c>
      <c r="D9" s="590" t="str">
        <f>B9&amp;".1"</f>
        <v>.1</v>
      </c>
      <c r="E9" s="591" t="s">
        <v>996</v>
      </c>
      <c r="F9" s="592" t="s">
        <v>443</v>
      </c>
      <c r="G9" s="598" t="s">
        <v>24</v>
      </c>
      <c r="H9" s="316" t="s">
        <v>24</v>
      </c>
      <c r="I9" s="598" t="s">
        <v>24</v>
      </c>
      <c r="J9" s="316" t="s">
        <v>24</v>
      </c>
      <c r="K9" s="206"/>
    </row>
    <row r="10" spans="1:21" ht="15" hidden="1" customHeight="1">
      <c r="A10" s="412"/>
      <c r="B10" s="16226"/>
      <c r="C10" s="16227"/>
      <c r="D10" s="590" t="str">
        <f>B9&amp;".2"</f>
        <v>.2</v>
      </c>
      <c r="E10" s="591" t="s">
        <v>997</v>
      </c>
      <c r="F10" s="592" t="s">
        <v>443</v>
      </c>
      <c r="G10" s="1594" t="s">
        <v>24</v>
      </c>
      <c r="H10" s="316" t="s">
        <v>24</v>
      </c>
      <c r="I10" s="1594" t="s">
        <v>24</v>
      </c>
      <c r="J10" s="316" t="s">
        <v>24</v>
      </c>
      <c r="K10" s="206" t="s">
        <v>998</v>
      </c>
    </row>
    <row r="11" spans="1:21" ht="15" hidden="1" customHeight="1">
      <c r="A11" s="412"/>
      <c r="B11" s="16226"/>
      <c r="C11" s="16227"/>
      <c r="D11" s="590" t="str">
        <f>B9&amp;".3"</f>
        <v>.3</v>
      </c>
      <c r="E11" s="591" t="s">
        <v>999</v>
      </c>
      <c r="F11" s="592" t="s">
        <v>443</v>
      </c>
      <c r="G11" s="1594" t="s">
        <v>24</v>
      </c>
      <c r="H11" s="316" t="s">
        <v>24</v>
      </c>
      <c r="I11" s="1594" t="s">
        <v>24</v>
      </c>
      <c r="J11" s="316" t="s">
        <v>24</v>
      </c>
      <c r="K11" s="206" t="s">
        <v>1000</v>
      </c>
    </row>
    <row r="12" spans="1:21" s="14362" customFormat="1" ht="15" hidden="1" customHeight="1">
      <c r="C12" s="574"/>
      <c r="U12" s="334"/>
    </row>
    <row r="13" spans="1:21" ht="33.75" hidden="1" customHeight="1">
      <c r="A13" s="412"/>
      <c r="B13" s="16226"/>
      <c r="C13" s="16227" t="s">
        <v>103</v>
      </c>
      <c r="D13" s="590" t="str">
        <f>B13&amp;".1"</f>
        <v>.1</v>
      </c>
      <c r="E13" s="591" t="s">
        <v>1001</v>
      </c>
      <c r="F13" s="592" t="s">
        <v>443</v>
      </c>
      <c r="G13" s="598" t="s">
        <v>24</v>
      </c>
      <c r="H13" s="316" t="s">
        <v>24</v>
      </c>
      <c r="I13" s="598" t="s">
        <v>24</v>
      </c>
      <c r="J13" s="316" t="s">
        <v>24</v>
      </c>
      <c r="K13" s="206" t="s">
        <v>1002</v>
      </c>
    </row>
    <row r="14" spans="1:21" ht="15" hidden="1" customHeight="1">
      <c r="B14" s="16226"/>
      <c r="C14" s="16227"/>
      <c r="D14" s="590" t="str">
        <f>B13&amp;".2"</f>
        <v>.2</v>
      </c>
      <c r="E14" s="591" t="s">
        <v>1003</v>
      </c>
      <c r="F14" s="592" t="s">
        <v>443</v>
      </c>
      <c r="G14" s="1594" t="s">
        <v>24</v>
      </c>
      <c r="H14" s="316" t="s">
        <v>24</v>
      </c>
      <c r="I14" s="1594" t="s">
        <v>24</v>
      </c>
      <c r="J14" s="316" t="s">
        <v>24</v>
      </c>
      <c r="K14" s="206" t="s">
        <v>1004</v>
      </c>
    </row>
    <row r="15" spans="1:21" s="14362" customFormat="1" ht="15" hidden="1" customHeight="1">
      <c r="C15" s="574"/>
      <c r="U15" s="334"/>
    </row>
    <row r="16" spans="1:21" s="14362" customFormat="1" ht="15" hidden="1" customHeight="1">
      <c r="C16" s="574"/>
      <c r="U16" s="334"/>
    </row>
    <row r="17" spans="1:21" s="14362" customFormat="1" ht="15" hidden="1" customHeight="1">
      <c r="C17" s="574"/>
      <c r="U17" s="334"/>
    </row>
    <row r="18" spans="1:21" s="14362" customFormat="1" ht="15" hidden="1" customHeight="1">
      <c r="C18" s="574"/>
      <c r="U18" s="334"/>
    </row>
    <row r="19" spans="1:21" s="14362" customFormat="1" ht="15" hidden="1" customHeight="1">
      <c r="C19" s="574"/>
      <c r="U19" s="334"/>
    </row>
    <row r="20" spans="1:21" s="14362" customFormat="1" ht="15" hidden="1" customHeight="1">
      <c r="C20" s="574"/>
      <c r="U20" s="334"/>
    </row>
    <row r="21" spans="1:21" ht="15" customHeight="1">
      <c r="C21" s="99"/>
      <c r="D21" s="416"/>
      <c r="E21" s="416"/>
      <c r="F21" s="416"/>
      <c r="G21" s="416"/>
      <c r="H21" s="416"/>
      <c r="I21" s="416"/>
      <c r="J21" s="416"/>
    </row>
    <row r="22" spans="1:21" ht="22.5" customHeight="1">
      <c r="C22" s="99"/>
      <c r="D22" s="161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6108"/>
      <c r="F22" s="16108"/>
      <c r="G22" s="16108"/>
      <c r="H22" s="16108"/>
      <c r="I22" s="16108"/>
      <c r="J22" s="578"/>
      <c r="K22" s="443"/>
    </row>
    <row r="23" spans="1:21" ht="15" customHeight="1">
      <c r="C23" s="99"/>
      <c r="D23" s="16056" t="str">
        <f>IF(org=0,"Не определено",org)</f>
        <v>АО "Мурманэнергосбыт"</v>
      </c>
      <c r="E23" s="16056"/>
      <c r="F23" s="16056"/>
      <c r="G23" s="16056"/>
      <c r="H23" s="16056"/>
      <c r="I23" s="16056"/>
      <c r="J23" s="578"/>
      <c r="K23" s="443"/>
    </row>
    <row r="24" spans="1:21" ht="15" customHeight="1">
      <c r="C24" s="99"/>
      <c r="D24" s="416"/>
      <c r="E24" s="416"/>
      <c r="F24" s="416"/>
      <c r="G24" s="443">
        <v>22</v>
      </c>
      <c r="H24" s="650"/>
      <c r="I24" s="443">
        <v>22</v>
      </c>
      <c r="J24" s="650"/>
    </row>
    <row r="25" spans="1:21" s="14361" customFormat="1" ht="0.75" customHeight="1">
      <c r="A25" s="657"/>
      <c r="C25" s="99"/>
      <c r="D25" s="416"/>
      <c r="E25" s="416"/>
      <c r="F25" s="416"/>
      <c r="G25" s="443"/>
      <c r="H25" s="650"/>
      <c r="I25" s="443" t="s">
        <v>152</v>
      </c>
      <c r="J25" s="650"/>
      <c r="K25" s="332"/>
      <c r="U25" s="577"/>
    </row>
    <row r="26" spans="1:21" ht="15" customHeight="1">
      <c r="C26" s="99"/>
      <c r="D26" s="611"/>
      <c r="E26" s="16203" t="s">
        <v>143</v>
      </c>
      <c r="F26" s="16204"/>
      <c r="G26" s="16224" t="str">
        <f>IF(G25="","",INDEX(DIFFERENTIATION_UNMERGE_VD,MATCH(G25,DIFFERENTIATION_ID_DIFF,0)))</f>
        <v/>
      </c>
      <c r="H26" s="16225"/>
      <c r="I26" s="16224">
        <f>IF(I25="","",INDEX(DIFFERENTIATION_UNMERGE_VD,MATCH(I25,DIFFERENTIATION_ID_DIFF,0)))</f>
        <v>0</v>
      </c>
      <c r="J26" s="16225"/>
      <c r="K26" s="16055" t="s">
        <v>438</v>
      </c>
    </row>
    <row r="27" spans="1:21" s="14361" customFormat="1" ht="15" customHeight="1">
      <c r="A27" s="657"/>
      <c r="C27" s="99"/>
      <c r="D27" s="611"/>
      <c r="E27" s="16203" t="s">
        <v>702</v>
      </c>
      <c r="F27" s="16204"/>
      <c r="G27" s="16224" t="str">
        <f>IF(G25="","",INDEX(DIFFERENTIATION_UNMERGE_AREA,MATCH(G25,DIFFERENTIATION_ID_DIFF,0)))</f>
        <v/>
      </c>
      <c r="H27" s="16225"/>
      <c r="I27" s="16224" t="str">
        <f>IF(I25="","",INDEX(DIFFERENTIATION_UNMERGE_AREA,MATCH(I25,DIFFERENTIATION_ID_DIFF,0)))</f>
        <v/>
      </c>
      <c r="J27" s="16225"/>
      <c r="K27" s="16073"/>
      <c r="U27" s="577"/>
    </row>
    <row r="28" spans="1:21" s="14361" customFormat="1" ht="15" customHeight="1">
      <c r="A28" s="657"/>
      <c r="C28" s="99"/>
      <c r="D28" s="611"/>
      <c r="E28" s="16203" t="s">
        <v>703</v>
      </c>
      <c r="F28" s="16204"/>
      <c r="G28" s="16224" t="str">
        <f>IF(G25="","",INDEX(DIFFERENTIATION_UNMERGE_SYSTEM,MATCH(G25,DIFFERENTIATION_ID_DIFF,0)))</f>
        <v/>
      </c>
      <c r="H28" s="16225"/>
      <c r="I28" s="16224" t="str">
        <f>IF(I25="","",INDEX(DIFFERENTIATION_UNMERGE_SYSTEM,MATCH(I25,DIFFERENTIATION_ID_DIFF,0)))</f>
        <v>без дифференциации</v>
      </c>
      <c r="J28" s="16225"/>
      <c r="K28" s="16073"/>
      <c r="U28" s="577"/>
    </row>
    <row r="29" spans="1:21" s="14361" customFormat="1" ht="15" customHeight="1">
      <c r="A29" s="657"/>
      <c r="C29" s="99"/>
      <c r="D29" s="16205" t="s">
        <v>437</v>
      </c>
      <c r="E29" s="16206"/>
      <c r="F29" s="16206"/>
      <c r="G29" s="781"/>
      <c r="H29" s="781"/>
      <c r="I29" s="781"/>
      <c r="J29" s="782"/>
      <c r="K29" s="16073"/>
      <c r="U29" s="577"/>
    </row>
    <row r="30" spans="1:21" ht="33.75" customHeight="1">
      <c r="C30" s="99"/>
      <c r="D30" s="659" t="s">
        <v>87</v>
      </c>
      <c r="E30" s="658" t="s">
        <v>439</v>
      </c>
      <c r="F30" s="658" t="s">
        <v>704</v>
      </c>
      <c r="G30" s="706" t="s">
        <v>440</v>
      </c>
      <c r="H30" s="705" t="s">
        <v>527</v>
      </c>
      <c r="I30" s="585" t="s">
        <v>440</v>
      </c>
      <c r="J30" s="373" t="s">
        <v>527</v>
      </c>
      <c r="K30" s="16076"/>
    </row>
    <row r="31" spans="1:21" ht="15" hidden="1" customHeight="1">
      <c r="C31" s="99"/>
      <c r="D31" s="497"/>
      <c r="E31" s="497"/>
      <c r="F31" s="497"/>
      <c r="G31" s="561"/>
      <c r="H31" s="561"/>
      <c r="I31" s="561"/>
      <c r="J31" s="561"/>
      <c r="K31" s="206"/>
    </row>
    <row r="32" spans="1:21" ht="22.5" customHeight="1">
      <c r="A32" s="412"/>
      <c r="B32" s="412" t="s">
        <v>1005</v>
      </c>
      <c r="C32" s="433"/>
      <c r="D32" s="593">
        <v>1</v>
      </c>
      <c r="E32" s="594" t="s">
        <v>1006</v>
      </c>
      <c r="F32" s="592" t="s">
        <v>443</v>
      </c>
      <c r="G32" s="711" t="s">
        <v>443</v>
      </c>
      <c r="H32" s="711" t="s">
        <v>443</v>
      </c>
      <c r="I32" s="592" t="s">
        <v>443</v>
      </c>
      <c r="J32" s="592" t="s">
        <v>443</v>
      </c>
      <c r="K32" s="206"/>
    </row>
    <row r="33" spans="1:21" ht="11.25" customHeight="1">
      <c r="A33" s="412"/>
      <c r="C33" s="412"/>
      <c r="D33" s="263"/>
      <c r="E33" s="486" t="s">
        <v>724</v>
      </c>
      <c r="F33" s="478"/>
      <c r="G33" s="478"/>
      <c r="H33" s="478"/>
      <c r="I33" s="478"/>
      <c r="J33" s="478"/>
      <c r="K33" s="479"/>
      <c r="U33" s="412"/>
    </row>
    <row r="34" spans="1:21" ht="22.5" customHeight="1">
      <c r="A34" s="412"/>
      <c r="B34" s="487" t="s">
        <v>1007</v>
      </c>
      <c r="C34" s="433"/>
      <c r="D34" s="593">
        <v>2</v>
      </c>
      <c r="E34" s="594" t="s">
        <v>1008</v>
      </c>
      <c r="F34" s="718" t="s">
        <v>443</v>
      </c>
      <c r="G34" s="718" t="s">
        <v>443</v>
      </c>
      <c r="H34" s="718" t="s">
        <v>443</v>
      </c>
      <c r="I34" s="592"/>
      <c r="J34" s="592"/>
      <c r="K34" s="206"/>
    </row>
    <row r="35" spans="1:21" ht="11.25" customHeight="1">
      <c r="A35" s="412"/>
      <c r="C35" s="412"/>
      <c r="D35" s="263"/>
      <c r="E35" s="486" t="s">
        <v>1009</v>
      </c>
      <c r="F35" s="478"/>
      <c r="G35" s="595"/>
      <c r="H35" s="478"/>
      <c r="I35" s="595"/>
      <c r="J35" s="478"/>
      <c r="K35" s="479"/>
      <c r="U35" s="412"/>
    </row>
    <row r="36" spans="1:21" ht="67.5" customHeight="1">
      <c r="A36" s="412"/>
      <c r="B36" s="412" t="s">
        <v>1010</v>
      </c>
      <c r="C36" s="433"/>
      <c r="D36" s="593">
        <v>3</v>
      </c>
      <c r="E36" s="594" t="s">
        <v>1011</v>
      </c>
      <c r="F36" s="596" t="s">
        <v>443</v>
      </c>
      <c r="G36" s="712" t="s">
        <v>1012</v>
      </c>
      <c r="H36" s="711" t="s">
        <v>443</v>
      </c>
      <c r="I36" s="431" t="s">
        <v>1012</v>
      </c>
      <c r="J36" s="592" t="s">
        <v>443</v>
      </c>
      <c r="K36" s="206" t="s">
        <v>1013</v>
      </c>
    </row>
    <row r="37" spans="1:21" ht="11.25" customHeight="1">
      <c r="A37" s="412"/>
      <c r="C37" s="412"/>
      <c r="D37" s="263"/>
      <c r="E37" s="486" t="s">
        <v>1014</v>
      </c>
      <c r="F37" s="478"/>
      <c r="G37" s="595"/>
      <c r="H37" s="595"/>
      <c r="I37" s="595"/>
      <c r="J37" s="595"/>
      <c r="K37" s="479"/>
      <c r="U37" s="412"/>
    </row>
    <row r="38" spans="1:21" ht="67.5" customHeight="1">
      <c r="A38" s="412"/>
      <c r="B38" s="412" t="s">
        <v>1015</v>
      </c>
      <c r="C38" s="433"/>
      <c r="D38" s="593">
        <v>4</v>
      </c>
      <c r="E38" s="594" t="s">
        <v>1016</v>
      </c>
      <c r="F38" s="596" t="s">
        <v>443</v>
      </c>
      <c r="G38" s="712" t="s">
        <v>1012</v>
      </c>
      <c r="H38" s="713" t="s">
        <v>443</v>
      </c>
      <c r="I38" s="431" t="s">
        <v>1012</v>
      </c>
      <c r="J38" s="428" t="s">
        <v>443</v>
      </c>
      <c r="K38" s="581" t="s">
        <v>1017</v>
      </c>
    </row>
    <row r="39" spans="1:21" ht="11.25" customHeight="1">
      <c r="A39" s="412"/>
      <c r="C39" s="412"/>
      <c r="D39" s="263"/>
      <c r="E39" s="486" t="s">
        <v>1018</v>
      </c>
      <c r="F39" s="478"/>
      <c r="G39" s="478"/>
      <c r="H39" s="597"/>
      <c r="I39" s="478"/>
      <c r="J39" s="597"/>
      <c r="K39" s="479"/>
      <c r="U39" s="41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5871" hidden="1" customWidth="1"/>
    <col min="4" max="4" width="6.7109375" style="14362" hidden="1" customWidth="1"/>
    <col min="5" max="5" width="3.7109375" style="15863" customWidth="1"/>
    <col min="6" max="6" width="6.28515625" style="14361" customWidth="1"/>
    <col min="7" max="7" width="37.7109375" style="14361" customWidth="1"/>
    <col min="8" max="8" width="16.5703125" style="14427" customWidth="1"/>
    <col min="9" max="10" width="19.7109375" style="14361" customWidth="1"/>
    <col min="11" max="11" width="25" style="14361" customWidth="1"/>
    <col min="12" max="13" width="25.7109375" style="14361" customWidth="1"/>
    <col min="14" max="16" width="17.7109375" style="14361" customWidth="1"/>
    <col min="17" max="24" width="19.7109375" style="14361" customWidth="1"/>
    <col min="25" max="25" width="8" style="14361" customWidth="1"/>
    <col min="26" max="26" width="3.28515625" style="14361" customWidth="1"/>
    <col min="27" max="27" width="6.28515625" style="14361" customWidth="1"/>
    <col min="28" max="28" width="34.140625" style="14361" customWidth="1"/>
    <col min="29" max="30" width="9.140625" style="14361"/>
  </cols>
  <sheetData>
    <row r="1" spans="1:30" s="14362" customFormat="1" ht="10.5" hidden="1" customHeight="1">
      <c r="A1" s="789"/>
      <c r="B1" s="789"/>
      <c r="C1" s="789"/>
      <c r="E1" s="443"/>
      <c r="H1" s="1041"/>
    </row>
    <row r="2" spans="1:30" ht="10.5" hidden="1" customHeight="1"/>
    <row r="3" spans="1:30" s="15870" customFormat="1" ht="10.5" hidden="1" customHeight="1">
      <c r="A3" s="789"/>
      <c r="B3" s="789"/>
      <c r="C3" s="789"/>
      <c r="D3" s="332"/>
      <c r="E3" s="278"/>
      <c r="H3" s="1037"/>
    </row>
    <row r="4" spans="1:30" ht="3" customHeight="1"/>
    <row r="5" spans="1:30" ht="25.5" customHeight="1">
      <c r="F5" s="16108" t="str">
        <f>IP_NAME_FORM</f>
        <v>Форма 7. Информация об инвестиционных программах организации горячего водоснабжения и отчетах об их исполнении</v>
      </c>
      <c r="G5" s="16108"/>
      <c r="H5" s="16108"/>
      <c r="I5" s="16108"/>
      <c r="J5" s="16108"/>
      <c r="K5" s="16108"/>
      <c r="M5" s="488"/>
      <c r="AB5" s="800"/>
    </row>
    <row r="6" spans="1:30" s="14433" customFormat="1" ht="15.75" customHeight="1">
      <c r="A6" s="1047"/>
      <c r="B6" s="1047"/>
      <c r="C6" s="1047"/>
      <c r="D6" s="1041"/>
      <c r="E6" s="1498"/>
      <c r="F6" s="16056" t="str">
        <f>IF(org=0,"Не определено",org)</f>
        <v>АО "Мурманэнергосбыт"</v>
      </c>
      <c r="G6" s="16056"/>
      <c r="H6" s="16056"/>
      <c r="I6" s="16056"/>
      <c r="J6" s="16056"/>
      <c r="K6" s="16056"/>
      <c r="M6" s="488"/>
      <c r="AB6" s="1029"/>
    </row>
    <row r="8" spans="1:30" ht="10.5" customHeight="1">
      <c r="A8" s="939"/>
      <c r="B8" s="939"/>
      <c r="C8" s="939"/>
      <c r="F8" s="15963" t="s">
        <v>437</v>
      </c>
      <c r="G8" s="15968"/>
      <c r="H8" s="15968"/>
      <c r="I8" s="15968"/>
      <c r="J8" s="15968"/>
      <c r="K8" s="15968"/>
      <c r="L8" s="15968"/>
      <c r="M8" s="15968"/>
      <c r="N8" s="15968"/>
      <c r="O8" s="15968"/>
      <c r="P8" s="15968"/>
      <c r="Q8" s="15968"/>
      <c r="R8" s="15968"/>
      <c r="S8" s="15968"/>
      <c r="T8" s="15968"/>
      <c r="U8" s="15968"/>
      <c r="V8" s="15968"/>
      <c r="W8" s="15968"/>
      <c r="X8" s="15968"/>
      <c r="Y8" s="15968"/>
      <c r="Z8" s="15968"/>
      <c r="AA8" s="15968"/>
      <c r="AB8" s="15962"/>
    </row>
    <row r="9" spans="1:30" ht="41.25" customHeight="1">
      <c r="A9" s="799"/>
      <c r="B9" s="799"/>
      <c r="C9" s="799"/>
      <c r="F9" s="15992" t="s">
        <v>87</v>
      </c>
      <c r="G9" s="15992" t="s">
        <v>1019</v>
      </c>
      <c r="H9" s="16055" t="s">
        <v>1020</v>
      </c>
      <c r="I9" s="15992" t="s">
        <v>1021</v>
      </c>
      <c r="J9" s="15992" t="s">
        <v>1022</v>
      </c>
      <c r="K9" s="15992" t="s">
        <v>1023</v>
      </c>
      <c r="L9" s="15992" t="s">
        <v>1024</v>
      </c>
      <c r="M9" s="15992" t="s">
        <v>1025</v>
      </c>
      <c r="N9" s="16084" t="s">
        <v>1026</v>
      </c>
      <c r="O9" s="16084"/>
      <c r="P9" s="16084"/>
      <c r="Q9" s="16133" t="s">
        <v>1027</v>
      </c>
      <c r="R9" s="16134"/>
      <c r="S9" s="16134"/>
      <c r="T9" s="16135"/>
      <c r="U9" s="16133" t="s">
        <v>1028</v>
      </c>
      <c r="V9" s="16134"/>
      <c r="W9" s="16134"/>
      <c r="X9" s="16135"/>
      <c r="Y9" s="15963" t="s">
        <v>1029</v>
      </c>
      <c r="Z9" s="15968"/>
      <c r="AA9" s="15968"/>
      <c r="AB9" s="15962"/>
    </row>
    <row r="10" spans="1:30" ht="41.25" customHeight="1">
      <c r="A10" s="799"/>
      <c r="B10" s="799"/>
      <c r="C10" s="799"/>
      <c r="F10" s="16055"/>
      <c r="G10" s="16055"/>
      <c r="H10" s="16103"/>
      <c r="I10" s="16055"/>
      <c r="J10" s="16055"/>
      <c r="K10" s="16055"/>
      <c r="L10" s="16055"/>
      <c r="M10" s="16055"/>
      <c r="N10" s="797" t="s">
        <v>1030</v>
      </c>
      <c r="O10" s="797" t="s">
        <v>1031</v>
      </c>
      <c r="P10" s="798" t="s">
        <v>1032</v>
      </c>
      <c r="Q10" s="809" t="s">
        <v>88</v>
      </c>
      <c r="R10" s="809" t="s">
        <v>1033</v>
      </c>
      <c r="S10" s="809" t="s">
        <v>1034</v>
      </c>
      <c r="T10" s="810" t="s">
        <v>1035</v>
      </c>
      <c r="U10" s="809" t="s">
        <v>88</v>
      </c>
      <c r="V10" s="809" t="s">
        <v>1036</v>
      </c>
      <c r="W10" s="809" t="s">
        <v>1034</v>
      </c>
      <c r="X10" s="810" t="s">
        <v>1035</v>
      </c>
      <c r="Y10" s="218" t="s">
        <v>1037</v>
      </c>
      <c r="Z10" s="15963" t="s">
        <v>87</v>
      </c>
      <c r="AA10" s="15962"/>
      <c r="AB10" s="937" t="s">
        <v>1038</v>
      </c>
    </row>
    <row r="11" spans="1:30" s="14421" customFormat="1" ht="5.25" hidden="1" customHeight="1">
      <c r="A11" s="940"/>
      <c r="B11" s="940"/>
      <c r="C11" s="940"/>
      <c r="E11" s="938"/>
      <c r="F11" s="16050" t="s">
        <v>513</v>
      </c>
      <c r="G11" s="16229"/>
      <c r="H11" s="16228"/>
      <c r="I11" s="16228"/>
      <c r="J11" s="16228"/>
      <c r="K11" s="16230"/>
      <c r="L11" s="16230"/>
      <c r="M11" s="16230"/>
      <c r="N11" s="16228"/>
      <c r="O11" s="16228"/>
      <c r="P11" s="15992"/>
      <c r="Q11" s="16059"/>
      <c r="R11" s="16059"/>
      <c r="S11" s="16059"/>
      <c r="T11" s="16228"/>
      <c r="U11" s="16059"/>
      <c r="V11" s="16059"/>
      <c r="W11" s="16059"/>
      <c r="X11" s="16228"/>
      <c r="Y11" s="15974"/>
      <c r="Z11" s="15974"/>
      <c r="AA11" s="15974"/>
      <c r="AB11" s="15974"/>
      <c r="AD11" s="418" t="s">
        <v>1039</v>
      </c>
    </row>
    <row r="12" spans="1:30" s="14421" customFormat="1" ht="5.25" hidden="1" customHeight="1">
      <c r="A12" s="790"/>
      <c r="B12" s="790"/>
      <c r="C12" s="790"/>
      <c r="E12" s="425"/>
      <c r="F12" s="16050"/>
      <c r="G12" s="16229"/>
      <c r="H12" s="16228"/>
      <c r="I12" s="16228"/>
      <c r="J12" s="16228"/>
      <c r="K12" s="16230"/>
      <c r="L12" s="16230"/>
      <c r="M12" s="16230"/>
      <c r="N12" s="16228"/>
      <c r="O12" s="16228"/>
      <c r="P12" s="15992"/>
      <c r="Q12" s="16059"/>
      <c r="R12" s="16059"/>
      <c r="S12" s="16059"/>
      <c r="T12" s="16228"/>
      <c r="U12" s="16059"/>
      <c r="V12" s="16059"/>
      <c r="W12" s="16059"/>
      <c r="X12" s="16228"/>
      <c r="Y12" s="16231"/>
      <c r="Z12" s="16231"/>
      <c r="AA12" s="16231"/>
      <c r="AB12" s="16231"/>
    </row>
    <row r="13" spans="1:30" ht="10.5" customHeight="1">
      <c r="F13" s="796"/>
      <c r="G13" s="552" t="s">
        <v>1040</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4421"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5871" hidden="1" customWidth="1"/>
    <col min="4" max="4" width="4.140625" style="14362" hidden="1" customWidth="1"/>
    <col min="5" max="5" width="3.7109375" style="15863" customWidth="1"/>
    <col min="6" max="6" width="14.42578125" style="14361" customWidth="1"/>
    <col min="7" max="7" width="3.7109375" style="14361" customWidth="1"/>
    <col min="8" max="8" width="7.7109375" style="14427" customWidth="1"/>
    <col min="9" max="10" width="16.7109375" style="14361" customWidth="1"/>
    <col min="11" max="11" width="25.7109375" style="14361" customWidth="1"/>
    <col min="12" max="12" width="8" style="15872" customWidth="1"/>
    <col min="13" max="13" width="15.5703125" style="15872" customWidth="1"/>
    <col min="14" max="14" width="3.28515625" style="14361" customWidth="1"/>
    <col min="15" max="15" width="4.7109375" style="14361" customWidth="1"/>
    <col min="16" max="16" width="9" style="14361" customWidth="1"/>
    <col min="17" max="17" width="21.7109375" style="14361" customWidth="1"/>
    <col min="18" max="18" width="14.7109375" style="14361" customWidth="1"/>
    <col min="19" max="20" width="17.7109375" style="14361" customWidth="1"/>
    <col min="21" max="21" width="9.7109375" style="14361" customWidth="1"/>
    <col min="22" max="22" width="12.7109375" style="14361" customWidth="1"/>
    <col min="23" max="23" width="9.7109375" style="14361" customWidth="1"/>
    <col min="24" max="24" width="21.7109375" style="14361" customWidth="1"/>
    <col min="25" max="25" width="12.7109375" style="14361" customWidth="1"/>
    <col min="26" max="26" width="3.28515625" style="14361" customWidth="1"/>
    <col min="27" max="27" width="7.140625" style="14361" customWidth="1"/>
    <col min="28" max="28" width="38.42578125" style="14361" customWidth="1"/>
    <col min="29" max="29" width="15.7109375" style="14361" customWidth="1"/>
    <col min="30" max="30" width="37.5703125" style="15872" hidden="1" customWidth="1"/>
    <col min="31" max="31" width="15.7109375" style="14361" hidden="1" customWidth="1"/>
    <col min="32" max="33" width="16.7109375" style="14361" customWidth="1"/>
    <col min="34" max="34" width="16.7109375" style="15873" customWidth="1"/>
    <col min="35" max="35" width="16.7109375" style="15874" hidden="1" customWidth="1"/>
    <col min="36" max="37" width="16.7109375" style="14361" hidden="1" customWidth="1"/>
    <col min="38" max="58" width="9.140625" style="14361"/>
  </cols>
  <sheetData>
    <row r="1" spans="1:58" s="14362" customFormat="1" ht="10.5" hidden="1" customHeight="1">
      <c r="A1" s="789"/>
      <c r="B1" s="789"/>
      <c r="C1" s="789"/>
      <c r="E1" s="443"/>
      <c r="H1" s="1041"/>
      <c r="L1" s="1011"/>
      <c r="M1" s="1011"/>
      <c r="AD1" s="1011"/>
      <c r="AH1" s="1028"/>
      <c r="AI1" s="1022"/>
    </row>
    <row r="2" spans="1:58" ht="10.5" hidden="1" customHeight="1"/>
    <row r="3" spans="1:58" s="15870" customFormat="1" ht="10.5" hidden="1" customHeight="1">
      <c r="A3" s="789"/>
      <c r="B3" s="789"/>
      <c r="C3" s="789"/>
      <c r="D3" s="332"/>
      <c r="E3" s="278"/>
      <c r="H3" s="1037"/>
      <c r="L3" s="1009"/>
      <c r="M3" s="1009"/>
      <c r="AD3" s="1009"/>
      <c r="AH3" s="1026"/>
      <c r="AI3" s="1020"/>
    </row>
    <row r="4" spans="1:58" ht="3" customHeight="1"/>
    <row r="5" spans="1:58" ht="25.5" customHeight="1">
      <c r="F5" s="16108" t="str">
        <f>IP_NAME_FORM</f>
        <v>Форма 7. Информация об инвестиционных программах организации горячего водоснабжения и отчетах об их исполнении</v>
      </c>
      <c r="G5" s="16108"/>
      <c r="H5" s="16108"/>
      <c r="I5" s="16108"/>
      <c r="J5" s="16108"/>
      <c r="K5" s="16108"/>
      <c r="L5" s="1018"/>
      <c r="M5" s="1018"/>
      <c r="AG5" s="800"/>
      <c r="AH5" s="1029"/>
    </row>
    <row r="6" spans="1:58" ht="10.5" customHeight="1">
      <c r="F6" s="16056" t="str">
        <f>IF(org=0,"Не определено",org)</f>
        <v>АО "Мурманэнергосбыт"</v>
      </c>
      <c r="G6" s="16056"/>
      <c r="H6" s="16056"/>
      <c r="I6" s="16056"/>
      <c r="J6" s="16056"/>
      <c r="K6" s="16056"/>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16235" t="s">
        <v>437</v>
      </c>
      <c r="G8" s="16236"/>
      <c r="H8" s="16236"/>
      <c r="I8" s="16236"/>
      <c r="J8" s="16236"/>
      <c r="K8" s="16236"/>
      <c r="L8" s="16236"/>
      <c r="M8" s="16236"/>
      <c r="N8" s="16236"/>
      <c r="O8" s="16236"/>
      <c r="P8" s="16236"/>
      <c r="Q8" s="16236"/>
      <c r="R8" s="16236"/>
      <c r="S8" s="16236"/>
      <c r="T8" s="16236"/>
      <c r="U8" s="16236"/>
      <c r="V8" s="16236"/>
      <c r="W8" s="16236"/>
      <c r="X8" s="16236"/>
      <c r="Y8" s="16236"/>
      <c r="Z8" s="16236"/>
      <c r="AA8" s="16236"/>
      <c r="AB8" s="16236"/>
      <c r="AC8" s="16236"/>
      <c r="AD8" s="16236"/>
      <c r="AE8" s="16236"/>
      <c r="AF8" s="16236"/>
      <c r="AG8" s="16236"/>
      <c r="AH8" s="16236"/>
      <c r="AI8" s="16236"/>
      <c r="AJ8" s="16236"/>
      <c r="AK8" s="16237"/>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16084" t="s">
        <v>1041</v>
      </c>
      <c r="G9" s="16170" t="s">
        <v>1042</v>
      </c>
      <c r="H9" s="16233"/>
      <c r="I9" s="15992" t="s">
        <v>1043</v>
      </c>
      <c r="J9" s="15992"/>
      <c r="K9" s="15992" t="s">
        <v>1044</v>
      </c>
      <c r="L9" s="15992"/>
      <c r="M9" s="15992"/>
      <c r="N9" s="15992"/>
      <c r="O9" s="15992"/>
      <c r="P9" s="15992"/>
      <c r="Q9" s="15992"/>
      <c r="R9" s="15992"/>
      <c r="S9" s="15992"/>
      <c r="T9" s="15992"/>
      <c r="U9" s="15992"/>
      <c r="V9" s="15992"/>
      <c r="W9" s="15992"/>
      <c r="X9" s="15992"/>
      <c r="Y9" s="15992"/>
      <c r="Z9" s="16070" t="s">
        <v>1045</v>
      </c>
      <c r="AA9" s="16071"/>
      <c r="AB9" s="15992" t="s">
        <v>1046</v>
      </c>
      <c r="AC9" s="15992"/>
      <c r="AD9" s="15992"/>
      <c r="AE9" s="15992"/>
      <c r="AF9" s="16055" t="s">
        <v>1047</v>
      </c>
      <c r="AG9" s="15992" t="s">
        <v>1048</v>
      </c>
      <c r="AH9" s="15992"/>
      <c r="AI9" s="16055" t="s">
        <v>1049</v>
      </c>
      <c r="AJ9" s="15992" t="s">
        <v>1050</v>
      </c>
      <c r="AK9" s="15992"/>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16084"/>
      <c r="G10" s="16171"/>
      <c r="H10" s="16088"/>
      <c r="I10" s="15992"/>
      <c r="J10" s="15992"/>
      <c r="K10" s="15992" t="s">
        <v>1051</v>
      </c>
      <c r="L10" s="15963" t="s">
        <v>1052</v>
      </c>
      <c r="M10" s="15962"/>
      <c r="N10" s="15992" t="s">
        <v>1053</v>
      </c>
      <c r="O10" s="15992"/>
      <c r="P10" s="15992"/>
      <c r="Q10" s="15992"/>
      <c r="R10" s="15992"/>
      <c r="S10" s="15992"/>
      <c r="T10" s="15992"/>
      <c r="U10" s="15992"/>
      <c r="V10" s="15992"/>
      <c r="W10" s="15992"/>
      <c r="X10" s="15992"/>
      <c r="Y10" s="15992"/>
      <c r="Z10" s="16072"/>
      <c r="AA10" s="16073"/>
      <c r="AB10" s="15992"/>
      <c r="AC10" s="15992"/>
      <c r="AD10" s="15992"/>
      <c r="AE10" s="15992"/>
      <c r="AF10" s="16074"/>
      <c r="AG10" s="15992"/>
      <c r="AH10" s="15992"/>
      <c r="AI10" s="16074"/>
      <c r="AJ10" s="15992"/>
      <c r="AK10" s="15992"/>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15872" customFormat="1" ht="23.25" customHeight="1">
      <c r="A11" s="1012"/>
      <c r="B11" s="1012"/>
      <c r="C11" s="1012"/>
      <c r="D11" s="1011"/>
      <c r="E11" s="1013"/>
      <c r="F11" s="16084"/>
      <c r="G11" s="16171"/>
      <c r="H11" s="16088"/>
      <c r="I11" s="15992"/>
      <c r="J11" s="15992"/>
      <c r="K11" s="15992"/>
      <c r="L11" s="16055" t="s">
        <v>1054</v>
      </c>
      <c r="M11" s="16055" t="s">
        <v>1055</v>
      </c>
      <c r="N11" s="15992" t="s">
        <v>1056</v>
      </c>
      <c r="O11" s="15992"/>
      <c r="P11" s="16020" t="s">
        <v>1037</v>
      </c>
      <c r="Q11" s="16020" t="s">
        <v>1057</v>
      </c>
      <c r="R11" s="16020" t="s">
        <v>1058</v>
      </c>
      <c r="S11" s="16020" t="s">
        <v>1059</v>
      </c>
      <c r="T11" s="16020"/>
      <c r="U11" s="16020"/>
      <c r="V11" s="16020"/>
      <c r="W11" s="16020"/>
      <c r="X11" s="16020"/>
      <c r="Y11" s="16020"/>
      <c r="Z11" s="16072"/>
      <c r="AA11" s="16073"/>
      <c r="AB11" s="15992" t="s">
        <v>1060</v>
      </c>
      <c r="AC11" s="15992"/>
      <c r="AD11" s="15963" t="s">
        <v>1061</v>
      </c>
      <c r="AE11" s="15962"/>
      <c r="AF11" s="16074"/>
      <c r="AG11" s="15992"/>
      <c r="AH11" s="15992"/>
      <c r="AI11" s="16074"/>
      <c r="AJ11" s="15992"/>
      <c r="AK11" s="15992"/>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16084"/>
      <c r="G12" s="16172"/>
      <c r="H12" s="16234"/>
      <c r="I12" s="1034" t="s">
        <v>88</v>
      </c>
      <c r="J12" s="1034" t="s">
        <v>1062</v>
      </c>
      <c r="K12" s="15992"/>
      <c r="L12" s="16103"/>
      <c r="M12" s="16103"/>
      <c r="N12" s="15992"/>
      <c r="O12" s="15992"/>
      <c r="P12" s="16020"/>
      <c r="Q12" s="16020"/>
      <c r="R12" s="16020"/>
      <c r="S12" s="1017" t="s">
        <v>85</v>
      </c>
      <c r="T12" s="1017" t="s">
        <v>86</v>
      </c>
      <c r="U12" s="1017" t="s">
        <v>84</v>
      </c>
      <c r="V12" s="1017" t="s">
        <v>1063</v>
      </c>
      <c r="W12" s="1017" t="s">
        <v>84</v>
      </c>
      <c r="X12" s="1017" t="s">
        <v>1064</v>
      </c>
      <c r="Y12" s="1017" t="s">
        <v>1065</v>
      </c>
      <c r="Z12" s="16075"/>
      <c r="AA12" s="16076"/>
      <c r="AB12" s="1023" t="s">
        <v>1066</v>
      </c>
      <c r="AC12" s="1023" t="s">
        <v>1067</v>
      </c>
      <c r="AD12" s="1023" t="s">
        <v>1066</v>
      </c>
      <c r="AE12" s="1023" t="s">
        <v>1067</v>
      </c>
      <c r="AF12" s="16103"/>
      <c r="AG12" s="1035" t="s">
        <v>1068</v>
      </c>
      <c r="AH12" s="1035" t="s">
        <v>1069</v>
      </c>
      <c r="AI12" s="16103"/>
      <c r="AJ12" s="1035" t="s">
        <v>1068</v>
      </c>
      <c r="AK12" s="1035" t="s">
        <v>1069</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1070</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16232"/>
      <c r="G17" s="16232"/>
      <c r="H17" s="16232"/>
      <c r="I17" s="16232"/>
      <c r="J17" s="16232"/>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16232"/>
      <c r="G18" s="16232"/>
      <c r="H18" s="16232"/>
      <c r="I18" s="16232"/>
      <c r="J18" s="16232"/>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16232"/>
      <c r="G19" s="16232"/>
      <c r="H19" s="16232"/>
      <c r="I19" s="16232"/>
      <c r="J19" s="16232"/>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5876" hidden="1" customWidth="1"/>
    <col min="4" max="4" width="4.140625" style="14419" hidden="1" customWidth="1"/>
    <col min="5" max="5" width="3.7109375" style="15863" customWidth="1"/>
    <col min="6" max="6" width="6.28515625" style="14427" customWidth="1"/>
    <col min="7" max="7" width="60.140625" style="14427" customWidth="1"/>
    <col min="8" max="9" width="21.7109375" style="14427" hidden="1" customWidth="1"/>
    <col min="10" max="10" width="0.140625" style="14427" customWidth="1"/>
    <col min="11" max="11" width="1.7109375" style="14427" customWidth="1"/>
    <col min="12" max="22" width="9.140625" style="14427"/>
  </cols>
  <sheetData>
    <row r="1" spans="1:22" s="14419" customFormat="1" ht="10.5" hidden="1" customHeight="1">
      <c r="A1" s="1047"/>
      <c r="B1" s="1047"/>
      <c r="C1" s="1047"/>
      <c r="E1" s="443"/>
    </row>
    <row r="2" spans="1:22" ht="10.5" hidden="1" customHeight="1"/>
    <row r="3" spans="1:22" s="15875" customFormat="1" ht="10.5" hidden="1" customHeight="1">
      <c r="A3" s="1047"/>
      <c r="B3" s="1047"/>
      <c r="C3" s="1047"/>
      <c r="D3" s="1041"/>
      <c r="E3" s="278"/>
    </row>
    <row r="4" spans="1:22" ht="3" customHeight="1"/>
    <row r="5" spans="1:22" ht="25.5" customHeight="1">
      <c r="F5" s="1610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16108"/>
      <c r="H5" s="16108"/>
      <c r="I5" s="16108"/>
      <c r="J5" s="16108"/>
    </row>
    <row r="6" spans="1:22" ht="10.5" customHeight="1">
      <c r="F6" s="16056" t="str">
        <f>IF(org=0,"Не определено",org)</f>
        <v>АО "Мурманэнергосбыт"</v>
      </c>
      <c r="G6" s="16056"/>
      <c r="H6" s="16056"/>
      <c r="I6" s="16056"/>
      <c r="J6" s="16056"/>
    </row>
    <row r="7" spans="1:22" ht="11.25" customHeight="1">
      <c r="E7" s="1051"/>
      <c r="F7" s="1109"/>
      <c r="G7" s="1109"/>
      <c r="H7" s="1109"/>
      <c r="I7" s="1109"/>
      <c r="J7" s="1109"/>
      <c r="K7" s="1038"/>
      <c r="L7" s="1038"/>
      <c r="M7" s="1038"/>
      <c r="N7" s="1038"/>
      <c r="O7" s="1038"/>
      <c r="P7" s="1038"/>
      <c r="Q7" s="1038"/>
      <c r="R7" s="1038"/>
      <c r="S7" s="1038"/>
      <c r="T7" s="1038"/>
      <c r="U7" s="1038"/>
      <c r="V7" s="1038"/>
    </row>
    <row r="8" spans="1:22" s="14421" customFormat="1" ht="5.25" customHeight="1">
      <c r="A8" s="1048"/>
      <c r="B8" s="1048"/>
      <c r="C8" s="1048"/>
      <c r="E8" s="1110"/>
      <c r="F8" s="1111"/>
      <c r="G8" s="1111"/>
      <c r="H8" s="1111"/>
      <c r="I8" s="1111"/>
      <c r="J8" s="1111"/>
      <c r="K8" s="1110"/>
      <c r="L8" s="1110"/>
      <c r="M8" s="1110"/>
      <c r="N8" s="1110"/>
      <c r="O8" s="1110"/>
      <c r="P8" s="1110"/>
      <c r="Q8" s="1110"/>
      <c r="R8" s="1110"/>
      <c r="S8" s="1110"/>
      <c r="T8" s="1110"/>
      <c r="U8" s="1110"/>
      <c r="V8" s="1110"/>
    </row>
    <row r="9" spans="1:22" ht="10.5" customHeight="1">
      <c r="E9" s="1051"/>
      <c r="F9" s="16238" t="s">
        <v>437</v>
      </c>
      <c r="G9" s="16239"/>
      <c r="H9" s="16239"/>
      <c r="I9" s="16239"/>
      <c r="J9" s="16239"/>
      <c r="K9" s="1122"/>
      <c r="L9" s="1038"/>
      <c r="M9" s="1038"/>
      <c r="N9" s="1038"/>
      <c r="O9" s="1038"/>
      <c r="P9" s="1038"/>
      <c r="Q9" s="1038"/>
      <c r="R9" s="1038"/>
      <c r="S9" s="1038"/>
      <c r="T9" s="1038"/>
      <c r="U9" s="1038"/>
      <c r="V9" s="1038"/>
    </row>
    <row r="10" spans="1:22" ht="24" customHeight="1">
      <c r="E10" s="1038"/>
      <c r="F10" s="16242" t="s">
        <v>87</v>
      </c>
      <c r="G10" s="16246" t="s">
        <v>1071</v>
      </c>
      <c r="H10" s="16228" t="s">
        <v>1072</v>
      </c>
      <c r="I10" s="16228"/>
      <c r="J10" s="16228"/>
      <c r="K10" s="1115"/>
      <c r="L10" s="1038"/>
      <c r="M10" s="1038"/>
      <c r="N10" s="1038"/>
      <c r="O10" s="1038"/>
      <c r="P10" s="1038"/>
      <c r="Q10" s="1038"/>
      <c r="R10" s="1038"/>
      <c r="S10" s="1038"/>
      <c r="T10" s="1038"/>
      <c r="U10" s="1038"/>
      <c r="V10" s="1038"/>
    </row>
    <row r="11" spans="1:22" ht="24" customHeight="1">
      <c r="E11" s="1038"/>
      <c r="F11" s="16243"/>
      <c r="G11" s="16246"/>
      <c r="H11" s="16245" t="e">
        <f>INDEX(IP_MAIN_LIST_NAME_IP,MATCH(H8,IP_MAIN_LIST_IP_ID,0))&amp;" ("&amp;INDEX(IP_MAIN_START_DATE,MATCH(H8,IP_MAIN_LIST_IP_ID,0))&amp;"-"&amp;INDEX(IP_MAIN_END_DATE,MATCH(H8,IP_MAIN_LIST_IP_ID,0))&amp;")"</f>
        <v>#N/A</v>
      </c>
      <c r="I11" s="16245"/>
      <c r="J11" s="16245"/>
      <c r="K11" s="1115"/>
      <c r="L11" s="1038"/>
      <c r="M11" s="1038"/>
      <c r="N11" s="1038"/>
      <c r="O11" s="1038"/>
      <c r="P11" s="1038"/>
      <c r="Q11" s="1038"/>
      <c r="R11" s="1038"/>
      <c r="S11" s="1038"/>
      <c r="T11" s="1038"/>
      <c r="U11" s="1038"/>
      <c r="V11" s="1038"/>
    </row>
    <row r="12" spans="1:22" ht="10.5" customHeight="1">
      <c r="F12" s="16244"/>
      <c r="G12" s="16246"/>
      <c r="H12" s="1108" t="s">
        <v>1073</v>
      </c>
      <c r="I12" s="1114"/>
      <c r="J12" s="1108"/>
      <c r="K12" s="1116"/>
    </row>
    <row r="13" spans="1:22" ht="10.5" hidden="1" customHeight="1">
      <c r="F13" s="1108">
        <v>1</v>
      </c>
      <c r="G13" s="1108">
        <v>2</v>
      </c>
      <c r="H13" s="1108">
        <v>3</v>
      </c>
      <c r="I13" s="1108">
        <v>4</v>
      </c>
      <c r="J13" s="1108">
        <v>5</v>
      </c>
      <c r="K13" s="1116"/>
    </row>
    <row r="14" spans="1:22" ht="11.25" customHeight="1">
      <c r="F14" s="1107" t="s">
        <v>1074</v>
      </c>
      <c r="G14" s="16240" t="s">
        <v>1075</v>
      </c>
      <c r="H14" s="16240"/>
      <c r="I14" s="16240"/>
      <c r="J14" s="16240"/>
      <c r="K14" s="1116"/>
    </row>
    <row r="15" spans="1:22" ht="11.25" customHeight="1">
      <c r="F15" s="1112">
        <v>1</v>
      </c>
      <c r="G15" s="591" t="s">
        <v>1076</v>
      </c>
      <c r="H15" s="1118">
        <f t="shared" ref="H15:H36" si="0">SUM(I15:J15)</f>
        <v>0</v>
      </c>
      <c r="I15" s="1118">
        <f>SUM(I16:I27)</f>
        <v>0</v>
      </c>
      <c r="J15" s="1107"/>
      <c r="K15" s="1116"/>
    </row>
    <row r="16" spans="1:22" ht="22.5" customHeight="1">
      <c r="F16" s="1112" t="s">
        <v>1077</v>
      </c>
      <c r="G16" s="1119" t="s">
        <v>1078</v>
      </c>
      <c r="H16" s="1118">
        <f t="shared" si="0"/>
        <v>0</v>
      </c>
      <c r="I16" s="1117"/>
      <c r="J16" s="1107"/>
      <c r="K16" s="1116"/>
    </row>
    <row r="17" spans="6:11" ht="22.5" customHeight="1">
      <c r="F17" s="1112" t="s">
        <v>1079</v>
      </c>
      <c r="G17" s="1119" t="s">
        <v>1080</v>
      </c>
      <c r="H17" s="1118">
        <f t="shared" si="0"/>
        <v>0</v>
      </c>
      <c r="I17" s="1117"/>
      <c r="J17" s="1107"/>
      <c r="K17" s="1116"/>
    </row>
    <row r="18" spans="6:11" ht="33.75" customHeight="1">
      <c r="F18" s="1112" t="s">
        <v>1081</v>
      </c>
      <c r="G18" s="1119" t="s">
        <v>1082</v>
      </c>
      <c r="H18" s="1118">
        <f t="shared" si="0"/>
        <v>0</v>
      </c>
      <c r="I18" s="1117"/>
      <c r="J18" s="1107"/>
      <c r="K18" s="1116"/>
    </row>
    <row r="19" spans="6:11" ht="33.75" customHeight="1">
      <c r="F19" s="1112" t="s">
        <v>1083</v>
      </c>
      <c r="G19" s="1119" t="s">
        <v>1084</v>
      </c>
      <c r="H19" s="1118">
        <f t="shared" si="0"/>
        <v>0</v>
      </c>
      <c r="I19" s="1117"/>
      <c r="J19" s="1107"/>
      <c r="K19" s="1116"/>
    </row>
    <row r="20" spans="6:11" ht="45" customHeight="1">
      <c r="F20" s="1112" t="s">
        <v>1085</v>
      </c>
      <c r="G20" s="1119" t="s">
        <v>1086</v>
      </c>
      <c r="H20" s="1118">
        <f t="shared" si="0"/>
        <v>0</v>
      </c>
      <c r="I20" s="1117"/>
      <c r="J20" s="1107"/>
      <c r="K20" s="1116"/>
    </row>
    <row r="21" spans="6:11" ht="33.75" customHeight="1">
      <c r="F21" s="1112" t="s">
        <v>1087</v>
      </c>
      <c r="G21" s="1119" t="s">
        <v>1088</v>
      </c>
      <c r="H21" s="1118">
        <f t="shared" si="0"/>
        <v>0</v>
      </c>
      <c r="I21" s="1117"/>
      <c r="J21" s="1107"/>
      <c r="K21" s="1116"/>
    </row>
    <row r="22" spans="6:11" ht="33.75" customHeight="1">
      <c r="F22" s="1112" t="s">
        <v>1089</v>
      </c>
      <c r="G22" s="1119" t="s">
        <v>1090</v>
      </c>
      <c r="H22" s="1118">
        <f t="shared" si="0"/>
        <v>0</v>
      </c>
      <c r="I22" s="1117"/>
      <c r="J22" s="1107"/>
      <c r="K22" s="1116"/>
    </row>
    <row r="23" spans="6:11" ht="22.5" customHeight="1">
      <c r="F23" s="1112" t="s">
        <v>1091</v>
      </c>
      <c r="G23" s="1119" t="s">
        <v>1092</v>
      </c>
      <c r="H23" s="1118">
        <f t="shared" si="0"/>
        <v>0</v>
      </c>
      <c r="I23" s="1117"/>
      <c r="J23" s="1107"/>
      <c r="K23" s="1116"/>
    </row>
    <row r="24" spans="6:11" ht="22.5" customHeight="1">
      <c r="F24" s="1112" t="s">
        <v>1093</v>
      </c>
      <c r="G24" s="1119" t="s">
        <v>1094</v>
      </c>
      <c r="H24" s="1118">
        <f t="shared" si="0"/>
        <v>0</v>
      </c>
      <c r="I24" s="1117"/>
      <c r="J24" s="1107"/>
      <c r="K24" s="1116"/>
    </row>
    <row r="25" spans="6:11" ht="33.75" customHeight="1">
      <c r="F25" s="1112" t="s">
        <v>1095</v>
      </c>
      <c r="G25" s="1119" t="s">
        <v>1096</v>
      </c>
      <c r="H25" s="1118">
        <f t="shared" si="0"/>
        <v>0</v>
      </c>
      <c r="I25" s="1117"/>
      <c r="J25" s="1107"/>
      <c r="K25" s="1116"/>
    </row>
    <row r="26" spans="6:11" ht="33.75" customHeight="1">
      <c r="F26" s="1112" t="s">
        <v>1097</v>
      </c>
      <c r="G26" s="1119" t="s">
        <v>1098</v>
      </c>
      <c r="H26" s="1118">
        <f t="shared" si="0"/>
        <v>0</v>
      </c>
      <c r="I26" s="1117"/>
      <c r="J26" s="1107"/>
      <c r="K26" s="1116"/>
    </row>
    <row r="27" spans="6:11" ht="11.25" customHeight="1">
      <c r="F27" s="1112" t="s">
        <v>1099</v>
      </c>
      <c r="G27" s="1119" t="s">
        <v>1100</v>
      </c>
      <c r="H27" s="1118">
        <f t="shared" si="0"/>
        <v>0</v>
      </c>
      <c r="I27" s="1117"/>
      <c r="J27" s="1107"/>
      <c r="K27" s="1116"/>
    </row>
    <row r="28" spans="6:11" ht="11.25" customHeight="1">
      <c r="F28" s="1112">
        <v>2</v>
      </c>
      <c r="G28" s="591" t="s">
        <v>1101</v>
      </c>
      <c r="H28" s="1118">
        <f t="shared" si="0"/>
        <v>0</v>
      </c>
      <c r="I28" s="1118">
        <f>SUM(I29:I31)</f>
        <v>0</v>
      </c>
      <c r="J28" s="1107"/>
      <c r="K28" s="1116"/>
    </row>
    <row r="29" spans="6:11" ht="11.25" customHeight="1">
      <c r="F29" s="1112" t="s">
        <v>760</v>
      </c>
      <c r="G29" s="1119" t="s">
        <v>1102</v>
      </c>
      <c r="H29" s="1118">
        <f t="shared" si="0"/>
        <v>0</v>
      </c>
      <c r="I29" s="1117"/>
      <c r="J29" s="1107"/>
      <c r="K29" s="1116"/>
    </row>
    <row r="30" spans="6:11" ht="11.25" customHeight="1">
      <c r="F30" s="1112" t="s">
        <v>444</v>
      </c>
      <c r="G30" s="1119" t="s">
        <v>1103</v>
      </c>
      <c r="H30" s="1118">
        <f t="shared" si="0"/>
        <v>0</v>
      </c>
      <c r="I30" s="1117"/>
      <c r="J30" s="1107"/>
      <c r="K30" s="1116"/>
    </row>
    <row r="31" spans="6:11" ht="11.25" customHeight="1">
      <c r="F31" s="1112" t="s">
        <v>447</v>
      </c>
      <c r="G31" s="1119" t="s">
        <v>1104</v>
      </c>
      <c r="H31" s="1118">
        <f t="shared" si="0"/>
        <v>0</v>
      </c>
      <c r="I31" s="1117"/>
      <c r="J31" s="1107"/>
      <c r="K31" s="1116"/>
    </row>
    <row r="32" spans="6:11" ht="11.25" customHeight="1">
      <c r="F32" s="1112">
        <v>3</v>
      </c>
      <c r="G32" s="591" t="s">
        <v>1105</v>
      </c>
      <c r="H32" s="1118">
        <f t="shared" si="0"/>
        <v>0</v>
      </c>
      <c r="I32" s="1118">
        <f>SUM(I33:I34)</f>
        <v>0</v>
      </c>
      <c r="J32" s="1107"/>
      <c r="K32" s="1116"/>
    </row>
    <row r="33" spans="6:11" ht="33.75" customHeight="1">
      <c r="F33" s="1112" t="s">
        <v>461</v>
      </c>
      <c r="G33" s="1119" t="s">
        <v>1106</v>
      </c>
      <c r="H33" s="1118">
        <f t="shared" si="0"/>
        <v>0</v>
      </c>
      <c r="I33" s="1117"/>
      <c r="J33" s="1107"/>
      <c r="K33" s="1116"/>
    </row>
    <row r="34" spans="6:11" ht="11.25" customHeight="1">
      <c r="F34" s="1112" t="s">
        <v>469</v>
      </c>
      <c r="G34" s="1119" t="s">
        <v>1107</v>
      </c>
      <c r="H34" s="1118">
        <f t="shared" si="0"/>
        <v>0</v>
      </c>
      <c r="I34" s="1117"/>
      <c r="J34" s="1107"/>
      <c r="K34" s="1116"/>
    </row>
    <row r="35" spans="6:11" ht="11.25" customHeight="1">
      <c r="F35" s="1112">
        <v>4</v>
      </c>
      <c r="G35" s="591" t="s">
        <v>1108</v>
      </c>
      <c r="H35" s="1118">
        <f t="shared" si="0"/>
        <v>0</v>
      </c>
      <c r="I35" s="1117"/>
      <c r="J35" s="1107"/>
      <c r="K35" s="1116"/>
    </row>
    <row r="36" spans="6:11" ht="11.25" customHeight="1">
      <c r="F36" s="1112"/>
      <c r="G36" s="594" t="s">
        <v>1109</v>
      </c>
      <c r="H36" s="1118">
        <f t="shared" si="0"/>
        <v>0</v>
      </c>
      <c r="I36" s="1118">
        <f>SUM(I15,I28,I32,I35)</f>
        <v>0</v>
      </c>
      <c r="J36" s="1107"/>
      <c r="K36" s="1116"/>
    </row>
    <row r="37" spans="6:11" ht="27.75" customHeight="1">
      <c r="F37" s="1113" t="s">
        <v>1110</v>
      </c>
      <c r="G37" s="16241" t="s">
        <v>1111</v>
      </c>
      <c r="H37" s="16241"/>
      <c r="I37" s="16241"/>
      <c r="J37" s="16241"/>
      <c r="K37" s="1116"/>
    </row>
    <row r="38" spans="6:11" ht="22.5" customHeight="1">
      <c r="F38" s="1112" t="s">
        <v>147</v>
      </c>
      <c r="G38" s="591" t="s">
        <v>1112</v>
      </c>
      <c r="H38" s="1118">
        <f t="shared" ref="H38:H58" si="1">SUM(I38:J38)</f>
        <v>0</v>
      </c>
      <c r="I38" s="1118">
        <f>SUM(I39,I44,I47)</f>
        <v>0</v>
      </c>
      <c r="J38" s="1107"/>
      <c r="K38" s="1116"/>
    </row>
    <row r="39" spans="6:11" ht="11.25" customHeight="1">
      <c r="F39" s="1112" t="s">
        <v>1077</v>
      </c>
      <c r="G39" s="1119" t="s">
        <v>1076</v>
      </c>
      <c r="H39" s="1118">
        <f t="shared" si="1"/>
        <v>0</v>
      </c>
      <c r="I39" s="1118">
        <f>SUM(I40:I43)</f>
        <v>0</v>
      </c>
      <c r="J39" s="1107"/>
      <c r="K39" s="1116"/>
    </row>
    <row r="40" spans="6:11" ht="22.5" customHeight="1">
      <c r="F40" s="1112" t="s">
        <v>1113</v>
      </c>
      <c r="G40" s="1120" t="s">
        <v>1114</v>
      </c>
      <c r="H40" s="1118">
        <f t="shared" si="1"/>
        <v>0</v>
      </c>
      <c r="I40" s="1117"/>
      <c r="J40" s="1107"/>
      <c r="K40" s="1116"/>
    </row>
    <row r="41" spans="6:11" ht="11.25" customHeight="1">
      <c r="F41" s="1112" t="s">
        <v>1115</v>
      </c>
      <c r="G41" s="1120" t="s">
        <v>1116</v>
      </c>
      <c r="H41" s="1118">
        <f t="shared" si="1"/>
        <v>0</v>
      </c>
      <c r="I41" s="1117"/>
      <c r="J41" s="1107"/>
      <c r="K41" s="1116"/>
    </row>
    <row r="42" spans="6:11" ht="11.25" customHeight="1">
      <c r="F42" s="1112" t="s">
        <v>1117</v>
      </c>
      <c r="G42" s="1120" t="s">
        <v>1118</v>
      </c>
      <c r="H42" s="1118">
        <f t="shared" si="1"/>
        <v>0</v>
      </c>
      <c r="I42" s="1117"/>
      <c r="J42" s="1107"/>
      <c r="K42" s="1116"/>
    </row>
    <row r="43" spans="6:11" ht="33.75" customHeight="1">
      <c r="F43" s="1112" t="s">
        <v>1119</v>
      </c>
      <c r="G43" s="1120" t="s">
        <v>1120</v>
      </c>
      <c r="H43" s="1118">
        <f t="shared" si="1"/>
        <v>0</v>
      </c>
      <c r="I43" s="1117"/>
      <c r="J43" s="1107"/>
      <c r="K43" s="1116"/>
    </row>
    <row r="44" spans="6:11" ht="11.25" customHeight="1">
      <c r="F44" s="1112" t="s">
        <v>1079</v>
      </c>
      <c r="G44" s="1119" t="s">
        <v>1105</v>
      </c>
      <c r="H44" s="1118">
        <f t="shared" si="1"/>
        <v>0</v>
      </c>
      <c r="I44" s="1118">
        <f>SUM(I45:I46)</f>
        <v>0</v>
      </c>
      <c r="J44" s="1107"/>
      <c r="K44" s="1116"/>
    </row>
    <row r="45" spans="6:11" ht="45" customHeight="1">
      <c r="F45" s="1112" t="s">
        <v>1121</v>
      </c>
      <c r="G45" s="1120" t="s">
        <v>1106</v>
      </c>
      <c r="H45" s="1118">
        <f t="shared" si="1"/>
        <v>0</v>
      </c>
      <c r="I45" s="1117"/>
      <c r="J45" s="1107"/>
      <c r="K45" s="1116"/>
    </row>
    <row r="46" spans="6:11" ht="11.25" customHeight="1">
      <c r="F46" s="1112" t="s">
        <v>1122</v>
      </c>
      <c r="G46" s="1120" t="s">
        <v>1107</v>
      </c>
      <c r="H46" s="1118">
        <f t="shared" si="1"/>
        <v>0</v>
      </c>
      <c r="I46" s="1117"/>
      <c r="J46" s="1107"/>
      <c r="K46" s="1116"/>
    </row>
    <row r="47" spans="6:11" ht="11.25" customHeight="1">
      <c r="F47" s="1112" t="s">
        <v>1081</v>
      </c>
      <c r="G47" s="1119" t="s">
        <v>1123</v>
      </c>
      <c r="H47" s="1118">
        <f t="shared" si="1"/>
        <v>0</v>
      </c>
      <c r="I47" s="1117"/>
      <c r="J47" s="1107"/>
      <c r="K47" s="1116"/>
    </row>
    <row r="48" spans="6:11" ht="22.5" customHeight="1">
      <c r="F48" s="1112" t="s">
        <v>102</v>
      </c>
      <c r="G48" s="591" t="s">
        <v>1124</v>
      </c>
      <c r="H48" s="1118">
        <f t="shared" si="1"/>
        <v>0</v>
      </c>
      <c r="I48" s="1118">
        <f>SUM(I49,I54,I57)</f>
        <v>0</v>
      </c>
      <c r="J48" s="1107"/>
      <c r="K48" s="1116"/>
    </row>
    <row r="49" spans="6:11" ht="11.25" customHeight="1">
      <c r="F49" s="1112" t="s">
        <v>760</v>
      </c>
      <c r="G49" s="1119" t="s">
        <v>1076</v>
      </c>
      <c r="H49" s="1118">
        <f t="shared" si="1"/>
        <v>0</v>
      </c>
      <c r="I49" s="1118">
        <f>SUM(I50:I53)</f>
        <v>0</v>
      </c>
      <c r="J49" s="1107"/>
      <c r="K49" s="1116"/>
    </row>
    <row r="50" spans="6:11" ht="22.5" customHeight="1">
      <c r="F50" s="1112" t="s">
        <v>763</v>
      </c>
      <c r="G50" s="1120" t="s">
        <v>1114</v>
      </c>
      <c r="H50" s="1118">
        <f t="shared" si="1"/>
        <v>0</v>
      </c>
      <c r="I50" s="1117"/>
      <c r="J50" s="1107"/>
      <c r="K50" s="1116"/>
    </row>
    <row r="51" spans="6:11" ht="11.25" customHeight="1">
      <c r="F51" s="1112" t="s">
        <v>766</v>
      </c>
      <c r="G51" s="1120" t="s">
        <v>1116</v>
      </c>
      <c r="H51" s="1118">
        <f t="shared" si="1"/>
        <v>0</v>
      </c>
      <c r="I51" s="1117"/>
      <c r="J51" s="1107"/>
      <c r="K51" s="1116"/>
    </row>
    <row r="52" spans="6:11" ht="11.25" customHeight="1">
      <c r="F52" s="1112" t="s">
        <v>1125</v>
      </c>
      <c r="G52" s="1120" t="s">
        <v>1118</v>
      </c>
      <c r="H52" s="1118">
        <f t="shared" si="1"/>
        <v>0</v>
      </c>
      <c r="I52" s="1117"/>
      <c r="J52" s="1107"/>
      <c r="K52" s="1116"/>
    </row>
    <row r="53" spans="6:11" ht="33.75" customHeight="1">
      <c r="F53" s="1112" t="s">
        <v>1126</v>
      </c>
      <c r="G53" s="1120" t="s">
        <v>1120</v>
      </c>
      <c r="H53" s="1118">
        <f t="shared" si="1"/>
        <v>0</v>
      </c>
      <c r="I53" s="1117"/>
      <c r="J53" s="1107"/>
      <c r="K53" s="1116"/>
    </row>
    <row r="54" spans="6:11" ht="11.25" customHeight="1">
      <c r="F54" s="1112" t="s">
        <v>444</v>
      </c>
      <c r="G54" s="1119" t="s">
        <v>1105</v>
      </c>
      <c r="H54" s="1118">
        <f t="shared" si="1"/>
        <v>0</v>
      </c>
      <c r="I54" s="1118">
        <f>SUM(I55:I56)</f>
        <v>0</v>
      </c>
      <c r="J54" s="1107"/>
      <c r="K54" s="1116"/>
    </row>
    <row r="55" spans="6:11" ht="45" customHeight="1">
      <c r="F55" s="1112" t="s">
        <v>770</v>
      </c>
      <c r="G55" s="1120" t="s">
        <v>1106</v>
      </c>
      <c r="H55" s="1118">
        <f t="shared" si="1"/>
        <v>0</v>
      </c>
      <c r="I55" s="1117"/>
      <c r="J55" s="1107"/>
      <c r="K55" s="1116"/>
    </row>
    <row r="56" spans="6:11" ht="11.25" customHeight="1">
      <c r="F56" s="1112" t="s">
        <v>772</v>
      </c>
      <c r="G56" s="1120" t="s">
        <v>1107</v>
      </c>
      <c r="H56" s="1118">
        <f t="shared" si="1"/>
        <v>0</v>
      </c>
      <c r="I56" s="1117"/>
      <c r="J56" s="1107"/>
      <c r="K56" s="1116"/>
    </row>
    <row r="57" spans="6:11" ht="11.25" customHeight="1">
      <c r="F57" s="1112" t="s">
        <v>447</v>
      </c>
      <c r="G57" s="1119" t="s">
        <v>1123</v>
      </c>
      <c r="H57" s="1118">
        <f t="shared" si="1"/>
        <v>0</v>
      </c>
      <c r="I57" s="1117"/>
      <c r="J57" s="1107"/>
      <c r="K57" s="1116"/>
    </row>
    <row r="58" spans="6:11" ht="11.25" customHeight="1">
      <c r="F58" s="1112"/>
      <c r="G58" s="1121" t="s">
        <v>1109</v>
      </c>
      <c r="H58" s="1118">
        <f t="shared" si="1"/>
        <v>0</v>
      </c>
      <c r="I58" s="1118">
        <f>SUM(I38,I48)</f>
        <v>0</v>
      </c>
      <c r="J58" s="1107"/>
      <c r="K58" s="1116"/>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5884" hidden="1" customWidth="1"/>
    <col min="2" max="2" width="4.7109375" style="15885" hidden="1" customWidth="1"/>
    <col min="3" max="4" width="4.7109375" style="15884" hidden="1" customWidth="1"/>
    <col min="5" max="5" width="3.5703125" style="15884" customWidth="1"/>
    <col min="6" max="6" width="6.7109375" style="15884" customWidth="1"/>
    <col min="7" max="7" width="18.7109375" style="15884" customWidth="1"/>
    <col min="8" max="8" width="27.28515625" style="15884" customWidth="1"/>
    <col min="9" max="9" width="18.7109375" style="15884" customWidth="1"/>
    <col min="10" max="14" width="0.85546875" style="15884" hidden="1" customWidth="1"/>
    <col min="15" max="28" width="21.7109375" style="15884" hidden="1" customWidth="1"/>
    <col min="29" max="71" width="0.85546875" style="15884" hidden="1" customWidth="1"/>
    <col min="72" max="79" width="21.7109375" style="15884" customWidth="1"/>
    <col min="80" max="81" width="29.140625" style="15884" customWidth="1"/>
    <col min="82" max="89" width="21.7109375" style="15884" customWidth="1"/>
    <col min="90" max="102" width="0.7109375" style="15884" customWidth="1"/>
    <col min="103" max="114" width="21.7109375" style="15884" hidden="1" customWidth="1"/>
    <col min="115" max="178" width="0.7109375" style="15884" hidden="1" customWidth="1"/>
    <col min="179" max="179" width="0.140625" style="15884" customWidth="1"/>
    <col min="180" max="184" width="9.140625" style="15884"/>
  </cols>
  <sheetData>
    <row r="1" spans="2:180" s="15877" customFormat="1" ht="12" hidden="1" customHeight="1">
      <c r="B1" s="816"/>
      <c r="C1" s="817"/>
      <c r="D1" s="817"/>
    </row>
    <row r="2" spans="2:180" s="15877"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15877"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15878" customFormat="1" ht="25.5" customHeight="1">
      <c r="B5" s="1733"/>
      <c r="E5" s="1734"/>
      <c r="F5" s="1624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16032"/>
      <c r="H5" s="16032"/>
      <c r="I5" s="16032"/>
      <c r="J5" s="16032"/>
      <c r="K5" s="16032"/>
      <c r="L5" s="16032"/>
      <c r="M5" s="16032"/>
      <c r="N5" s="16032"/>
      <c r="O5" s="16032"/>
      <c r="P5" s="16032"/>
      <c r="Q5" s="16032"/>
      <c r="R5" s="16032"/>
      <c r="S5" s="16032"/>
      <c r="T5" s="16032"/>
      <c r="U5" s="16032"/>
      <c r="V5" s="16032"/>
      <c r="W5" s="16032"/>
      <c r="X5" s="16032"/>
      <c r="Y5" s="16032"/>
      <c r="Z5" s="16032"/>
      <c r="AA5" s="16032"/>
      <c r="AB5" s="16032"/>
      <c r="AC5" s="16032"/>
      <c r="AD5" s="16032"/>
      <c r="AE5" s="16032"/>
      <c r="AF5" s="16032"/>
      <c r="AG5" s="16032"/>
      <c r="AH5" s="16032"/>
      <c r="AI5" s="16032"/>
      <c r="AJ5" s="16032"/>
      <c r="AK5" s="16032"/>
      <c r="AL5" s="16032"/>
      <c r="AM5" s="16032"/>
      <c r="AN5" s="16032"/>
      <c r="AO5" s="16032"/>
      <c r="AP5" s="16032"/>
      <c r="AQ5" s="16032"/>
      <c r="AR5" s="16032"/>
      <c r="AS5" s="16032"/>
      <c r="AT5" s="16032"/>
      <c r="AU5" s="16032"/>
      <c r="AV5" s="16032"/>
      <c r="AW5" s="16032"/>
      <c r="AX5" s="16032"/>
      <c r="AY5" s="16032"/>
      <c r="AZ5" s="16032"/>
      <c r="BA5" s="16032"/>
      <c r="BB5" s="16032"/>
      <c r="BC5" s="16032"/>
      <c r="BD5" s="16032"/>
      <c r="BE5" s="16032"/>
      <c r="BF5" s="16032"/>
      <c r="BG5" s="16032"/>
      <c r="BH5" s="16032"/>
      <c r="BI5" s="16032"/>
      <c r="BJ5" s="16032"/>
      <c r="BK5" s="16032"/>
      <c r="BL5" s="16032"/>
      <c r="BM5" s="16032"/>
      <c r="BN5" s="16032"/>
      <c r="BO5" s="16032"/>
      <c r="BP5" s="16032"/>
      <c r="BQ5" s="16032"/>
      <c r="BR5" s="16032"/>
      <c r="BS5" s="16032"/>
    </row>
    <row r="6" spans="2:180" s="15879" customFormat="1" ht="18" customHeight="1">
      <c r="B6" s="834"/>
      <c r="E6" s="835"/>
      <c r="F6" s="16089" t="str">
        <f>IF(org=0,"Не определено",org)</f>
        <v>АО "Мурманэнергосбыт"</v>
      </c>
      <c r="G6" s="16090"/>
      <c r="H6" s="16090"/>
      <c r="I6" s="16090"/>
      <c r="J6" s="16090"/>
      <c r="K6" s="16090"/>
      <c r="L6" s="16090"/>
      <c r="M6" s="16090"/>
      <c r="N6" s="16090"/>
      <c r="O6" s="16090"/>
      <c r="P6" s="16090"/>
      <c r="Q6" s="16090"/>
      <c r="R6" s="16090"/>
      <c r="S6" s="16090"/>
      <c r="T6" s="16090"/>
      <c r="U6" s="16090"/>
      <c r="V6" s="16090"/>
      <c r="W6" s="16090"/>
      <c r="X6" s="16090"/>
      <c r="Y6" s="16090"/>
      <c r="Z6" s="16090"/>
      <c r="AA6" s="16090"/>
      <c r="AB6" s="16090"/>
      <c r="AC6" s="16090"/>
      <c r="AD6" s="16090"/>
      <c r="AE6" s="16090"/>
      <c r="AF6" s="16090"/>
      <c r="AG6" s="16090"/>
      <c r="AH6" s="16090"/>
      <c r="AI6" s="16090"/>
      <c r="AJ6" s="16090"/>
      <c r="AK6" s="16090"/>
      <c r="AL6" s="16090"/>
      <c r="AM6" s="16090"/>
      <c r="AN6" s="16090"/>
      <c r="AO6" s="16090"/>
      <c r="AP6" s="16090"/>
      <c r="AQ6" s="16090"/>
      <c r="AR6" s="16090"/>
      <c r="AS6" s="16090"/>
      <c r="AT6" s="16090"/>
      <c r="AU6" s="16090"/>
      <c r="AV6" s="16090"/>
      <c r="AW6" s="16090"/>
      <c r="AX6" s="16090"/>
      <c r="AY6" s="16090"/>
      <c r="AZ6" s="16090"/>
      <c r="BA6" s="16090"/>
      <c r="BB6" s="16090"/>
      <c r="BC6" s="16090"/>
      <c r="BD6" s="16090"/>
      <c r="BE6" s="16090"/>
      <c r="BF6" s="16090"/>
      <c r="BG6" s="16090"/>
      <c r="BH6" s="16090"/>
      <c r="BI6" s="16090"/>
      <c r="BJ6" s="16090"/>
      <c r="BK6" s="16090"/>
      <c r="BL6" s="16090"/>
      <c r="BM6" s="16090"/>
      <c r="BN6" s="16090"/>
      <c r="BO6" s="16090"/>
      <c r="BP6" s="16090"/>
      <c r="BQ6" s="16090"/>
      <c r="BR6" s="16090"/>
      <c r="BS6" s="16090"/>
    </row>
    <row r="7" spans="2:180" s="15880"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15881" customFormat="1" ht="11.25" hidden="1" customHeight="1">
      <c r="B8" s="825"/>
      <c r="F8" s="944"/>
      <c r="G8" s="661"/>
      <c r="H8" s="276"/>
      <c r="I8" s="276"/>
      <c r="J8" s="276"/>
      <c r="K8" s="276"/>
      <c r="L8" s="276"/>
      <c r="M8" s="944"/>
      <c r="N8" s="944"/>
      <c r="O8" s="16267" t="s">
        <v>1127</v>
      </c>
      <c r="P8" s="16268"/>
      <c r="Q8" s="16268"/>
      <c r="R8" s="16268"/>
      <c r="S8" s="16268"/>
      <c r="T8" s="16268"/>
      <c r="U8" s="16268"/>
      <c r="V8" s="16268"/>
      <c r="W8" s="16268"/>
      <c r="X8" s="16268"/>
      <c r="Y8" s="16268"/>
      <c r="Z8" s="16268"/>
      <c r="AA8" s="16268"/>
      <c r="AB8" s="16268"/>
      <c r="AC8" s="16268"/>
      <c r="AD8" s="16268"/>
      <c r="AE8" s="16268"/>
      <c r="AF8" s="16268"/>
      <c r="AG8" s="16268"/>
      <c r="AH8" s="16268"/>
      <c r="AI8" s="16268"/>
      <c r="AJ8" s="16268"/>
      <c r="AK8" s="16268"/>
      <c r="AL8" s="16268"/>
      <c r="AM8" s="16268"/>
      <c r="AN8" s="16268"/>
      <c r="AO8" s="16268"/>
      <c r="AP8" s="16268"/>
      <c r="AQ8" s="16268"/>
      <c r="AR8" s="16268"/>
      <c r="AS8" s="16268"/>
      <c r="AT8" s="16268"/>
      <c r="AU8" s="16268"/>
      <c r="AV8" s="16268"/>
      <c r="AW8" s="16268"/>
      <c r="AX8" s="16268"/>
      <c r="AY8" s="16268"/>
      <c r="AZ8" s="16268"/>
      <c r="BA8" s="16268"/>
      <c r="BB8" s="16268"/>
      <c r="BC8" s="16268"/>
      <c r="BD8" s="16268"/>
      <c r="BE8" s="16268"/>
      <c r="BF8" s="16268"/>
      <c r="BG8" s="16268"/>
      <c r="BH8" s="16268"/>
      <c r="BI8" s="16268"/>
      <c r="BJ8" s="16268"/>
      <c r="BK8" s="16268"/>
      <c r="BL8" s="16268"/>
      <c r="BM8" s="16268"/>
      <c r="BN8" s="16268"/>
      <c r="BO8" s="16268"/>
      <c r="BP8" s="16268"/>
      <c r="BQ8" s="16268"/>
      <c r="BR8" s="16268"/>
      <c r="BS8" s="16269"/>
      <c r="BT8" s="16256"/>
      <c r="BU8" s="16257"/>
      <c r="BV8" s="16257"/>
      <c r="BW8" s="16257"/>
      <c r="BX8" s="16257"/>
      <c r="BY8" s="16257"/>
      <c r="BZ8" s="16257"/>
      <c r="CA8" s="16257"/>
      <c r="CB8" s="16257"/>
      <c r="CC8" s="16257"/>
      <c r="CD8" s="16257"/>
      <c r="CE8" s="16257"/>
      <c r="CF8" s="16257"/>
      <c r="CG8" s="16257"/>
      <c r="CH8" s="16257"/>
      <c r="CI8" s="16257"/>
      <c r="CJ8" s="16257"/>
      <c r="CK8" s="16257"/>
      <c r="CL8" s="16257"/>
      <c r="CM8" s="16257"/>
      <c r="CN8" s="16257"/>
      <c r="CO8" s="16257"/>
      <c r="CP8" s="16257"/>
      <c r="CQ8" s="16257"/>
      <c r="CR8" s="16257"/>
      <c r="CS8" s="16257"/>
      <c r="CT8" s="16257"/>
      <c r="CU8" s="16257"/>
      <c r="CV8" s="16257"/>
      <c r="CW8" s="16257"/>
      <c r="CX8" s="16258"/>
      <c r="CY8" s="16259"/>
      <c r="CZ8" s="16260"/>
      <c r="DA8" s="16260"/>
      <c r="DB8" s="16260"/>
      <c r="DC8" s="16260"/>
      <c r="DD8" s="16260"/>
      <c r="DE8" s="16260"/>
      <c r="DF8" s="16260"/>
      <c r="DG8" s="16260"/>
      <c r="DH8" s="16260"/>
      <c r="DI8" s="16260"/>
      <c r="DJ8" s="16260"/>
      <c r="DK8" s="16260"/>
      <c r="DL8" s="16260"/>
      <c r="DM8" s="16260"/>
      <c r="DN8" s="16260"/>
      <c r="DO8" s="16260"/>
      <c r="DP8" s="16260"/>
      <c r="DQ8" s="16260"/>
      <c r="DR8" s="16260"/>
      <c r="DS8" s="16260"/>
      <c r="DT8" s="16260"/>
      <c r="DU8" s="16260"/>
      <c r="DV8" s="16260"/>
      <c r="DW8" s="16260"/>
      <c r="DX8" s="16261"/>
      <c r="DY8" s="16262" t="s">
        <v>1128</v>
      </c>
      <c r="DZ8" s="16263"/>
      <c r="EA8" s="16263"/>
      <c r="EB8" s="16263"/>
      <c r="EC8" s="16263"/>
      <c r="ED8" s="16263"/>
      <c r="EE8" s="16263"/>
      <c r="EF8" s="16263"/>
      <c r="EG8" s="16263"/>
      <c r="EH8" s="16263"/>
      <c r="EI8" s="16263"/>
      <c r="EJ8" s="16263"/>
      <c r="EK8" s="16263"/>
      <c r="EL8" s="16263"/>
      <c r="EM8" s="16263"/>
      <c r="EN8" s="16263"/>
      <c r="EO8" s="16263"/>
      <c r="EP8" s="16263"/>
      <c r="EQ8" s="16263"/>
      <c r="ER8" s="16263"/>
      <c r="ES8" s="16263"/>
      <c r="ET8" s="16263"/>
      <c r="EU8" s="16263"/>
      <c r="EV8" s="16263"/>
      <c r="EW8" s="16263"/>
      <c r="EX8" s="16263"/>
      <c r="EY8" s="16263"/>
      <c r="EZ8" s="16263"/>
      <c r="FA8" s="16263"/>
      <c r="FB8" s="16263"/>
      <c r="FC8" s="16263"/>
      <c r="FD8" s="16263"/>
      <c r="FE8" s="16263"/>
      <c r="FF8" s="16263"/>
      <c r="FG8" s="16263"/>
      <c r="FH8" s="16263"/>
      <c r="FI8" s="16263"/>
      <c r="FJ8" s="16263"/>
      <c r="FK8" s="16263"/>
      <c r="FL8" s="16263"/>
      <c r="FM8" s="16263"/>
      <c r="FN8" s="16263"/>
      <c r="FO8" s="16263"/>
      <c r="FP8" s="16263"/>
      <c r="FQ8" s="16263"/>
      <c r="FR8" s="16263"/>
      <c r="FS8" s="16263"/>
      <c r="FT8" s="16263"/>
      <c r="FU8" s="16263"/>
      <c r="FV8" s="16263"/>
      <c r="FW8" s="16264"/>
      <c r="FX8" s="944"/>
    </row>
    <row r="9" spans="2:180" s="15881"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16265"/>
      <c r="FX9" s="944"/>
    </row>
    <row r="10" spans="2:180" s="15881" customFormat="1" ht="11.25" customHeight="1">
      <c r="B10" s="825"/>
      <c r="F10" s="16231" t="s">
        <v>437</v>
      </c>
      <c r="G10" s="16247"/>
      <c r="H10" s="16247"/>
      <c r="I10" s="16247"/>
      <c r="J10" s="16247"/>
      <c r="K10" s="16247"/>
      <c r="L10" s="16247"/>
      <c r="M10" s="16247"/>
      <c r="N10" s="16247"/>
      <c r="O10" s="16247"/>
      <c r="P10" s="16247"/>
      <c r="Q10" s="16247"/>
      <c r="R10" s="16247"/>
      <c r="S10" s="16247"/>
      <c r="T10" s="16247"/>
      <c r="U10" s="16247"/>
      <c r="V10" s="16247"/>
      <c r="W10" s="16247"/>
      <c r="X10" s="16247"/>
      <c r="Y10" s="16247"/>
      <c r="Z10" s="16247"/>
      <c r="AA10" s="16247"/>
      <c r="AB10" s="16247"/>
      <c r="AC10" s="16247"/>
      <c r="AD10" s="16247"/>
      <c r="AE10" s="16247"/>
      <c r="AF10" s="16247"/>
      <c r="AG10" s="16247"/>
      <c r="AH10" s="16247"/>
      <c r="AI10" s="16247"/>
      <c r="AJ10" s="16247"/>
      <c r="AK10" s="16247"/>
      <c r="AL10" s="16247"/>
      <c r="AM10" s="16247"/>
      <c r="AN10" s="16247"/>
      <c r="AO10" s="16247"/>
      <c r="AP10" s="16247"/>
      <c r="AQ10" s="16247"/>
      <c r="AR10" s="16247"/>
      <c r="AS10" s="16247"/>
      <c r="AT10" s="16247"/>
      <c r="AU10" s="16247"/>
      <c r="AV10" s="16247"/>
      <c r="AW10" s="16247"/>
      <c r="AX10" s="16247"/>
      <c r="AY10" s="16247"/>
      <c r="AZ10" s="16247"/>
      <c r="BA10" s="16247"/>
      <c r="BB10" s="16247"/>
      <c r="BC10" s="16247"/>
      <c r="BD10" s="16247"/>
      <c r="BE10" s="16247"/>
      <c r="BF10" s="16247"/>
      <c r="BG10" s="16247"/>
      <c r="BH10" s="16247"/>
      <c r="BI10" s="16247"/>
      <c r="BJ10" s="16247"/>
      <c r="BK10" s="16247"/>
      <c r="BL10" s="16247"/>
      <c r="BM10" s="16247"/>
      <c r="BN10" s="16247"/>
      <c r="BO10" s="16247"/>
      <c r="BP10" s="16247"/>
      <c r="BQ10" s="16247"/>
      <c r="BR10" s="16247"/>
      <c r="BS10" s="16247"/>
      <c r="BT10" s="16247"/>
      <c r="BU10" s="16247"/>
      <c r="BV10" s="16247"/>
      <c r="BW10" s="16247"/>
      <c r="BX10" s="16247"/>
      <c r="BY10" s="16247"/>
      <c r="BZ10" s="16247"/>
      <c r="CA10" s="16247"/>
      <c r="CB10" s="16247"/>
      <c r="CC10" s="16247"/>
      <c r="CD10" s="16247"/>
      <c r="CE10" s="16247"/>
      <c r="CF10" s="16247"/>
      <c r="CG10" s="16247"/>
      <c r="CH10" s="16247"/>
      <c r="CI10" s="16247"/>
      <c r="CJ10" s="16247"/>
      <c r="CK10" s="16247"/>
      <c r="CL10" s="16247"/>
      <c r="CM10" s="16247"/>
      <c r="CN10" s="16247"/>
      <c r="CO10" s="16247"/>
      <c r="CP10" s="16247"/>
      <c r="CQ10" s="16247"/>
      <c r="CR10" s="16247"/>
      <c r="CS10" s="16247"/>
      <c r="CT10" s="16247"/>
      <c r="CU10" s="16247"/>
      <c r="CV10" s="16247"/>
      <c r="CW10" s="16247"/>
      <c r="CX10" s="16247"/>
      <c r="CY10" s="16247"/>
      <c r="CZ10" s="16247"/>
      <c r="DA10" s="16247"/>
      <c r="DB10" s="16247"/>
      <c r="DC10" s="16247"/>
      <c r="DD10" s="16247"/>
      <c r="DE10" s="16247"/>
      <c r="DF10" s="16247"/>
      <c r="DG10" s="16247"/>
      <c r="DH10" s="16247"/>
      <c r="DI10" s="16247"/>
      <c r="DJ10" s="16247"/>
      <c r="DK10" s="16247"/>
      <c r="DL10" s="16247"/>
      <c r="DM10" s="16247"/>
      <c r="DN10" s="16247"/>
      <c r="DO10" s="16247"/>
      <c r="DP10" s="16247"/>
      <c r="DQ10" s="16247"/>
      <c r="DR10" s="16247"/>
      <c r="DS10" s="16247"/>
      <c r="DT10" s="16247"/>
      <c r="DU10" s="16247"/>
      <c r="DV10" s="16247"/>
      <c r="DW10" s="16247"/>
      <c r="DX10" s="16247"/>
      <c r="DY10" s="16247"/>
      <c r="DZ10" s="16247"/>
      <c r="EA10" s="16247"/>
      <c r="EB10" s="16247"/>
      <c r="EC10" s="16247"/>
      <c r="ED10" s="16247"/>
      <c r="EE10" s="16247"/>
      <c r="EF10" s="16247"/>
      <c r="EG10" s="16247"/>
      <c r="EH10" s="16247"/>
      <c r="EI10" s="16247"/>
      <c r="EJ10" s="16247"/>
      <c r="EK10" s="16247"/>
      <c r="EL10" s="16247"/>
      <c r="EM10" s="16247"/>
      <c r="EN10" s="16247"/>
      <c r="EO10" s="16247"/>
      <c r="EP10" s="16247"/>
      <c r="EQ10" s="16247"/>
      <c r="ER10" s="16247"/>
      <c r="ES10" s="16247"/>
      <c r="ET10" s="16247"/>
      <c r="EU10" s="16247"/>
      <c r="EV10" s="16247"/>
      <c r="EW10" s="16247"/>
      <c r="EX10" s="16247"/>
      <c r="EY10" s="16247"/>
      <c r="EZ10" s="16247"/>
      <c r="FA10" s="16247"/>
      <c r="FB10" s="16247"/>
      <c r="FC10" s="16247"/>
      <c r="FD10" s="16247"/>
      <c r="FE10" s="16247"/>
      <c r="FF10" s="16247"/>
      <c r="FG10" s="16247"/>
      <c r="FH10" s="16247"/>
      <c r="FI10" s="16247"/>
      <c r="FJ10" s="16247"/>
      <c r="FK10" s="16247"/>
      <c r="FL10" s="16247"/>
      <c r="FM10" s="16247"/>
      <c r="FN10" s="16247"/>
      <c r="FO10" s="16247"/>
      <c r="FP10" s="16247"/>
      <c r="FQ10" s="16247"/>
      <c r="FR10" s="16247"/>
      <c r="FS10" s="16247"/>
      <c r="FT10" s="16247"/>
      <c r="FU10" s="16247"/>
      <c r="FV10" s="16248"/>
      <c r="FW10" s="16265"/>
      <c r="FX10" s="944"/>
    </row>
    <row r="11" spans="2:180" ht="12" customHeight="1">
      <c r="E11" s="827"/>
      <c r="F11" s="16080" t="s">
        <v>87</v>
      </c>
      <c r="G11" s="16080" t="s">
        <v>1129</v>
      </c>
      <c r="H11" s="16080" t="s">
        <v>1130</v>
      </c>
      <c r="I11" s="16080" t="s">
        <v>1131</v>
      </c>
      <c r="J11" s="16255"/>
      <c r="K11" s="16255"/>
      <c r="L11" s="16255"/>
      <c r="M11" s="16255"/>
      <c r="N11" s="16255"/>
      <c r="O11" s="16084" t="s">
        <v>1132</v>
      </c>
      <c r="P11" s="16084"/>
      <c r="Q11" s="16084"/>
      <c r="R11" s="16084"/>
      <c r="S11" s="16084"/>
      <c r="T11" s="16084"/>
      <c r="U11" s="16084"/>
      <c r="V11" s="16084"/>
      <c r="W11" s="16084"/>
      <c r="X11" s="16084"/>
      <c r="Y11" s="16084"/>
      <c r="Z11" s="16084"/>
      <c r="AA11" s="16084"/>
      <c r="AB11" s="16084"/>
      <c r="AC11" s="16253"/>
      <c r="AD11" s="16253"/>
      <c r="AE11" s="16253"/>
      <c r="AF11" s="16253"/>
      <c r="AG11" s="16253"/>
      <c r="AH11" s="16253"/>
      <c r="AI11" s="16253"/>
      <c r="AJ11" s="16253"/>
      <c r="AK11" s="16253"/>
      <c r="AL11" s="16253"/>
      <c r="AM11" s="16253"/>
      <c r="AN11" s="16253"/>
      <c r="AO11" s="16253"/>
      <c r="AP11" s="16253"/>
      <c r="AQ11" s="16253"/>
      <c r="AR11" s="16253"/>
      <c r="AS11" s="16253"/>
      <c r="AT11" s="16253"/>
      <c r="AU11" s="16253"/>
      <c r="AV11" s="16253"/>
      <c r="AW11" s="16253"/>
      <c r="AX11" s="16253"/>
      <c r="AY11" s="16253"/>
      <c r="AZ11" s="16253"/>
      <c r="BA11" s="16253"/>
      <c r="BB11" s="16253"/>
      <c r="BC11" s="16253"/>
      <c r="BD11" s="16253"/>
      <c r="BE11" s="16253"/>
      <c r="BF11" s="16253"/>
      <c r="BG11" s="16253"/>
      <c r="BH11" s="16253"/>
      <c r="BI11" s="16253"/>
      <c r="BJ11" s="16253"/>
      <c r="BK11" s="16253"/>
      <c r="BL11" s="16253"/>
      <c r="BM11" s="16253"/>
      <c r="BN11" s="16253"/>
      <c r="BO11" s="16253"/>
      <c r="BP11" s="16253"/>
      <c r="BQ11" s="16253"/>
      <c r="BR11" s="16253"/>
      <c r="BS11" s="16270"/>
      <c r="BT11" s="16250" t="s">
        <v>1132</v>
      </c>
      <c r="BU11" s="16251"/>
      <c r="BV11" s="16251"/>
      <c r="BW11" s="16251"/>
      <c r="BX11" s="16251"/>
      <c r="BY11" s="16251"/>
      <c r="BZ11" s="16251"/>
      <c r="CA11" s="16251"/>
      <c r="CB11" s="16251"/>
      <c r="CC11" s="16251"/>
      <c r="CD11" s="16251"/>
      <c r="CE11" s="16251"/>
      <c r="CF11" s="16251"/>
      <c r="CG11" s="16251"/>
      <c r="CH11" s="16251"/>
      <c r="CI11" s="16251"/>
      <c r="CJ11" s="16251"/>
      <c r="CK11" s="16252"/>
      <c r="CL11" s="16254"/>
      <c r="CM11" s="16253"/>
      <c r="CN11" s="16253"/>
      <c r="CO11" s="16253"/>
      <c r="CP11" s="16253"/>
      <c r="CQ11" s="16253"/>
      <c r="CR11" s="16253"/>
      <c r="CS11" s="16253"/>
      <c r="CT11" s="16253"/>
      <c r="CU11" s="16253"/>
      <c r="CV11" s="16253"/>
      <c r="CW11" s="16253"/>
      <c r="CX11" s="16270"/>
      <c r="CY11" s="16250" t="s">
        <v>1132</v>
      </c>
      <c r="CZ11" s="16251"/>
      <c r="DA11" s="16251"/>
      <c r="DB11" s="16251"/>
      <c r="DC11" s="16251"/>
      <c r="DD11" s="16251"/>
      <c r="DE11" s="16251"/>
      <c r="DF11" s="16251"/>
      <c r="DG11" s="16251"/>
      <c r="DH11" s="16251"/>
      <c r="DI11" s="16251"/>
      <c r="DJ11" s="16252"/>
      <c r="DK11" s="16254"/>
      <c r="DL11" s="16253"/>
      <c r="DM11" s="16253"/>
      <c r="DN11" s="16253"/>
      <c r="DO11" s="16253"/>
      <c r="DP11" s="16253"/>
      <c r="DQ11" s="16253"/>
      <c r="DR11" s="16253"/>
      <c r="DS11" s="16253"/>
      <c r="DT11" s="16253"/>
      <c r="DU11" s="16253"/>
      <c r="DV11" s="16253"/>
      <c r="DW11" s="16253"/>
      <c r="DX11" s="16253"/>
      <c r="DY11" s="16253"/>
      <c r="DZ11" s="16253"/>
      <c r="EA11" s="16253"/>
      <c r="EB11" s="16253"/>
      <c r="EC11" s="16253"/>
      <c r="ED11" s="16253"/>
      <c r="EE11" s="16253"/>
      <c r="EF11" s="16253"/>
      <c r="EG11" s="16253"/>
      <c r="EH11" s="16253"/>
      <c r="EI11" s="16253"/>
      <c r="EJ11" s="16253"/>
      <c r="EK11" s="16253"/>
      <c r="EL11" s="16253"/>
      <c r="EM11" s="16253"/>
      <c r="EN11" s="16253"/>
      <c r="EO11" s="16253"/>
      <c r="EP11" s="16253"/>
      <c r="EQ11" s="16253"/>
      <c r="ER11" s="16253"/>
      <c r="ES11" s="16253"/>
      <c r="ET11" s="16253"/>
      <c r="EU11" s="16253"/>
      <c r="EV11" s="16253"/>
      <c r="EW11" s="16253"/>
      <c r="EX11" s="16253"/>
      <c r="EY11" s="16253"/>
      <c r="EZ11" s="16253"/>
      <c r="FA11" s="16253"/>
      <c r="FB11" s="16253"/>
      <c r="FC11" s="16253"/>
      <c r="FD11" s="16253"/>
      <c r="FE11" s="16253"/>
      <c r="FF11" s="16253"/>
      <c r="FG11" s="16253"/>
      <c r="FH11" s="16253"/>
      <c r="FI11" s="16253"/>
      <c r="FJ11" s="16253"/>
      <c r="FK11" s="16253"/>
      <c r="FL11" s="16253"/>
      <c r="FM11" s="16253"/>
      <c r="FN11" s="16253"/>
      <c r="FO11" s="16253"/>
      <c r="FP11" s="16253"/>
      <c r="FQ11" s="16253"/>
      <c r="FR11" s="16253"/>
      <c r="FS11" s="16253"/>
      <c r="FT11" s="16253"/>
      <c r="FU11" s="16253"/>
      <c r="FV11" s="16253"/>
      <c r="FW11" s="16265"/>
      <c r="FX11" s="660"/>
    </row>
    <row r="12" spans="2:180" ht="12" customHeight="1">
      <c r="D12" s="828"/>
      <c r="E12" s="827"/>
      <c r="F12" s="16080"/>
      <c r="G12" s="16080"/>
      <c r="H12" s="16080"/>
      <c r="I12" s="16080"/>
      <c r="J12" s="16255"/>
      <c r="K12" s="16255"/>
      <c r="L12" s="16255"/>
      <c r="M12" s="16255"/>
      <c r="N12" s="16255"/>
      <c r="O12" s="16084" t="s">
        <v>1133</v>
      </c>
      <c r="P12" s="16084"/>
      <c r="Q12" s="16084"/>
      <c r="R12" s="16084"/>
      <c r="S12" s="16084" t="s">
        <v>1134</v>
      </c>
      <c r="T12" s="16084"/>
      <c r="U12" s="16084"/>
      <c r="V12" s="16084"/>
      <c r="W12" s="16084"/>
      <c r="X12" s="16084"/>
      <c r="Y12" s="16084"/>
      <c r="Z12" s="16084"/>
      <c r="AA12" s="16084"/>
      <c r="AB12" s="16084"/>
      <c r="AC12" s="16253"/>
      <c r="AD12" s="16253"/>
      <c r="AE12" s="16253"/>
      <c r="AF12" s="16253"/>
      <c r="AG12" s="16253"/>
      <c r="AH12" s="16253"/>
      <c r="AI12" s="16253"/>
      <c r="AJ12" s="16253"/>
      <c r="AK12" s="16253"/>
      <c r="AL12" s="16253"/>
      <c r="AM12" s="16253"/>
      <c r="AN12" s="16253"/>
      <c r="AO12" s="16253"/>
      <c r="AP12" s="16253"/>
      <c r="AQ12" s="16253"/>
      <c r="AR12" s="16253"/>
      <c r="AS12" s="16253"/>
      <c r="AT12" s="16253"/>
      <c r="AU12" s="16253"/>
      <c r="AV12" s="16253"/>
      <c r="AW12" s="16253"/>
      <c r="AX12" s="16253"/>
      <c r="AY12" s="16253"/>
      <c r="AZ12" s="16253"/>
      <c r="BA12" s="16253"/>
      <c r="BB12" s="16253"/>
      <c r="BC12" s="16253"/>
      <c r="BD12" s="16253"/>
      <c r="BE12" s="16253"/>
      <c r="BF12" s="16253"/>
      <c r="BG12" s="16253"/>
      <c r="BH12" s="16253"/>
      <c r="BI12" s="16253"/>
      <c r="BJ12" s="16253"/>
      <c r="BK12" s="16253"/>
      <c r="BL12" s="16253"/>
      <c r="BM12" s="16253"/>
      <c r="BN12" s="16253"/>
      <c r="BO12" s="16253"/>
      <c r="BP12" s="16253"/>
      <c r="BQ12" s="16253"/>
      <c r="BR12" s="16253"/>
      <c r="BS12" s="16270"/>
      <c r="BT12" s="16250" t="s">
        <v>1135</v>
      </c>
      <c r="BU12" s="16251"/>
      <c r="BV12" s="16251"/>
      <c r="BW12" s="16252"/>
      <c r="BX12" s="16250" t="s">
        <v>1136</v>
      </c>
      <c r="BY12" s="16251"/>
      <c r="BZ12" s="16251"/>
      <c r="CA12" s="16252"/>
      <c r="CB12" s="16250" t="s">
        <v>1137</v>
      </c>
      <c r="CC12" s="16252"/>
      <c r="CD12" s="16250" t="s">
        <v>1138</v>
      </c>
      <c r="CE12" s="16251"/>
      <c r="CF12" s="16251"/>
      <c r="CG12" s="16251"/>
      <c r="CH12" s="16251"/>
      <c r="CI12" s="16251"/>
      <c r="CJ12" s="16251"/>
      <c r="CK12" s="16252"/>
      <c r="CL12" s="16254"/>
      <c r="CM12" s="16253"/>
      <c r="CN12" s="16253"/>
      <c r="CO12" s="16253"/>
      <c r="CP12" s="16253"/>
      <c r="CQ12" s="16253"/>
      <c r="CR12" s="16253"/>
      <c r="CS12" s="16253"/>
      <c r="CT12" s="16253"/>
      <c r="CU12" s="16253"/>
      <c r="CV12" s="16253"/>
      <c r="CW12" s="16253"/>
      <c r="CX12" s="16270"/>
      <c r="CY12" s="16250" t="s">
        <v>1139</v>
      </c>
      <c r="CZ12" s="16251"/>
      <c r="DA12" s="16251"/>
      <c r="DB12" s="16251"/>
      <c r="DC12" s="16251"/>
      <c r="DD12" s="16252"/>
      <c r="DE12" s="16250" t="s">
        <v>1140</v>
      </c>
      <c r="DF12" s="16252"/>
      <c r="DG12" s="16250" t="s">
        <v>1138</v>
      </c>
      <c r="DH12" s="16251"/>
      <c r="DI12" s="16251"/>
      <c r="DJ12" s="16252"/>
      <c r="DK12" s="16254"/>
      <c r="DL12" s="16253"/>
      <c r="DM12" s="16253"/>
      <c r="DN12" s="16253"/>
      <c r="DO12" s="16253"/>
      <c r="DP12" s="16253"/>
      <c r="DQ12" s="16253"/>
      <c r="DR12" s="16253"/>
      <c r="DS12" s="16253"/>
      <c r="DT12" s="16253"/>
      <c r="DU12" s="16253"/>
      <c r="DV12" s="16253"/>
      <c r="DW12" s="16253"/>
      <c r="DX12" s="16253"/>
      <c r="DY12" s="16253"/>
      <c r="DZ12" s="16253"/>
      <c r="EA12" s="16253"/>
      <c r="EB12" s="16253"/>
      <c r="EC12" s="16253"/>
      <c r="ED12" s="16253"/>
      <c r="EE12" s="16253"/>
      <c r="EF12" s="16253"/>
      <c r="EG12" s="16253"/>
      <c r="EH12" s="16253"/>
      <c r="EI12" s="16253"/>
      <c r="EJ12" s="16253"/>
      <c r="EK12" s="16253"/>
      <c r="EL12" s="16253"/>
      <c r="EM12" s="16253"/>
      <c r="EN12" s="16253"/>
      <c r="EO12" s="16253"/>
      <c r="EP12" s="16253"/>
      <c r="EQ12" s="16253"/>
      <c r="ER12" s="16253"/>
      <c r="ES12" s="16253"/>
      <c r="ET12" s="16253"/>
      <c r="EU12" s="16253"/>
      <c r="EV12" s="16253"/>
      <c r="EW12" s="16253"/>
      <c r="EX12" s="16253"/>
      <c r="EY12" s="16253"/>
      <c r="EZ12" s="16253"/>
      <c r="FA12" s="16253"/>
      <c r="FB12" s="16253"/>
      <c r="FC12" s="16253"/>
      <c r="FD12" s="16253"/>
      <c r="FE12" s="16253"/>
      <c r="FF12" s="16253"/>
      <c r="FG12" s="16253"/>
      <c r="FH12" s="16253"/>
      <c r="FI12" s="16253"/>
      <c r="FJ12" s="16253"/>
      <c r="FK12" s="16253"/>
      <c r="FL12" s="16253"/>
      <c r="FM12" s="16253"/>
      <c r="FN12" s="16253"/>
      <c r="FO12" s="16253"/>
      <c r="FP12" s="16253"/>
      <c r="FQ12" s="16253"/>
      <c r="FR12" s="16253"/>
      <c r="FS12" s="16253"/>
      <c r="FT12" s="16253"/>
      <c r="FU12" s="16253"/>
      <c r="FV12" s="16253"/>
      <c r="FW12" s="16265"/>
      <c r="FX12" s="660"/>
    </row>
    <row r="13" spans="2:180" ht="36" customHeight="1">
      <c r="D13" s="828"/>
      <c r="E13" s="827"/>
      <c r="F13" s="16080"/>
      <c r="G13" s="16080"/>
      <c r="H13" s="16080"/>
      <c r="I13" s="16080"/>
      <c r="J13" s="16255"/>
      <c r="K13" s="16255"/>
      <c r="L13" s="16255"/>
      <c r="M13" s="16255"/>
      <c r="N13" s="16255"/>
      <c r="O13" s="16084" t="s">
        <v>1141</v>
      </c>
      <c r="P13" s="16084"/>
      <c r="Q13" s="16084"/>
      <c r="R13" s="16084"/>
      <c r="S13" s="16170" t="s">
        <v>1142</v>
      </c>
      <c r="T13" s="16233"/>
      <c r="U13" s="15992" t="s">
        <v>1143</v>
      </c>
      <c r="V13" s="15992"/>
      <c r="W13" s="15992"/>
      <c r="X13" s="15992"/>
      <c r="Y13" s="15992" t="s">
        <v>1144</v>
      </c>
      <c r="Z13" s="15992"/>
      <c r="AA13" s="15992"/>
      <c r="AB13" s="15992"/>
      <c r="AC13" s="16253"/>
      <c r="AD13" s="16253"/>
      <c r="AE13" s="16253"/>
      <c r="AF13" s="16253"/>
      <c r="AG13" s="16253"/>
      <c r="AH13" s="16253"/>
      <c r="AI13" s="16253"/>
      <c r="AJ13" s="16253"/>
      <c r="AK13" s="16253"/>
      <c r="AL13" s="16253"/>
      <c r="AM13" s="16253"/>
      <c r="AN13" s="16253"/>
      <c r="AO13" s="16253"/>
      <c r="AP13" s="16253"/>
      <c r="AQ13" s="16253"/>
      <c r="AR13" s="16253"/>
      <c r="AS13" s="16253"/>
      <c r="AT13" s="16253"/>
      <c r="AU13" s="16253"/>
      <c r="AV13" s="16253"/>
      <c r="AW13" s="16253"/>
      <c r="AX13" s="16253"/>
      <c r="AY13" s="16253"/>
      <c r="AZ13" s="16253"/>
      <c r="BA13" s="16253"/>
      <c r="BB13" s="16253"/>
      <c r="BC13" s="16253"/>
      <c r="BD13" s="16253"/>
      <c r="BE13" s="16253"/>
      <c r="BF13" s="16253"/>
      <c r="BG13" s="16253"/>
      <c r="BH13" s="16253"/>
      <c r="BI13" s="16253"/>
      <c r="BJ13" s="16253"/>
      <c r="BK13" s="16253"/>
      <c r="BL13" s="16253"/>
      <c r="BM13" s="16253"/>
      <c r="BN13" s="16253"/>
      <c r="BO13" s="16253"/>
      <c r="BP13" s="16253"/>
      <c r="BQ13" s="16253"/>
      <c r="BR13" s="16253"/>
      <c r="BS13" s="16270"/>
      <c r="BT13" s="16170" t="s">
        <v>1145</v>
      </c>
      <c r="BU13" s="16233"/>
      <c r="BV13" s="16170" t="s">
        <v>1146</v>
      </c>
      <c r="BW13" s="16233"/>
      <c r="BX13" s="16170" t="s">
        <v>1147</v>
      </c>
      <c r="BY13" s="16233"/>
      <c r="BZ13" s="16170" t="s">
        <v>1148</v>
      </c>
      <c r="CA13" s="16233"/>
      <c r="CB13" s="16170" t="s">
        <v>1149</v>
      </c>
      <c r="CC13" s="16233"/>
      <c r="CD13" s="16170" t="s">
        <v>1150</v>
      </c>
      <c r="CE13" s="16233"/>
      <c r="CF13" s="16170" t="s">
        <v>1151</v>
      </c>
      <c r="CG13" s="16233"/>
      <c r="CH13" s="16250" t="s">
        <v>1152</v>
      </c>
      <c r="CI13" s="16251"/>
      <c r="CJ13" s="16251"/>
      <c r="CK13" s="16252"/>
      <c r="CL13" s="16254"/>
      <c r="CM13" s="16253"/>
      <c r="CN13" s="16253"/>
      <c r="CO13" s="16253"/>
      <c r="CP13" s="16253"/>
      <c r="CQ13" s="16253"/>
      <c r="CR13" s="16253"/>
      <c r="CS13" s="16253"/>
      <c r="CT13" s="16253"/>
      <c r="CU13" s="16253"/>
      <c r="CV13" s="16253"/>
      <c r="CW13" s="16253"/>
      <c r="CX13" s="16270"/>
      <c r="CY13" s="16170" t="s">
        <v>1153</v>
      </c>
      <c r="CZ13" s="16233"/>
      <c r="DA13" s="16170" t="s">
        <v>1154</v>
      </c>
      <c r="DB13" s="16233"/>
      <c r="DC13" s="16170" t="s">
        <v>1155</v>
      </c>
      <c r="DD13" s="16233"/>
      <c r="DE13" s="16170" t="s">
        <v>1156</v>
      </c>
      <c r="DF13" s="16233"/>
      <c r="DG13" s="16250" t="s">
        <v>1157</v>
      </c>
      <c r="DH13" s="16251"/>
      <c r="DI13" s="16251"/>
      <c r="DJ13" s="16252"/>
      <c r="DK13" s="16254"/>
      <c r="DL13" s="16253"/>
      <c r="DM13" s="16253"/>
      <c r="DN13" s="16253"/>
      <c r="DO13" s="16253"/>
      <c r="DP13" s="16253"/>
      <c r="DQ13" s="16253"/>
      <c r="DR13" s="16253"/>
      <c r="DS13" s="16253"/>
      <c r="DT13" s="16253"/>
      <c r="DU13" s="16253"/>
      <c r="DV13" s="16253"/>
      <c r="DW13" s="16253"/>
      <c r="DX13" s="16253"/>
      <c r="DY13" s="16253"/>
      <c r="DZ13" s="16253"/>
      <c r="EA13" s="16253"/>
      <c r="EB13" s="16253"/>
      <c r="EC13" s="16253"/>
      <c r="ED13" s="16253"/>
      <c r="EE13" s="16253"/>
      <c r="EF13" s="16253"/>
      <c r="EG13" s="16253"/>
      <c r="EH13" s="16253"/>
      <c r="EI13" s="16253"/>
      <c r="EJ13" s="16253"/>
      <c r="EK13" s="16253"/>
      <c r="EL13" s="16253"/>
      <c r="EM13" s="16253"/>
      <c r="EN13" s="16253"/>
      <c r="EO13" s="16253"/>
      <c r="EP13" s="16253"/>
      <c r="EQ13" s="16253"/>
      <c r="ER13" s="16253"/>
      <c r="ES13" s="16253"/>
      <c r="ET13" s="16253"/>
      <c r="EU13" s="16253"/>
      <c r="EV13" s="16253"/>
      <c r="EW13" s="16253"/>
      <c r="EX13" s="16253"/>
      <c r="EY13" s="16253"/>
      <c r="EZ13" s="16253"/>
      <c r="FA13" s="16253"/>
      <c r="FB13" s="16253"/>
      <c r="FC13" s="16253"/>
      <c r="FD13" s="16253"/>
      <c r="FE13" s="16253"/>
      <c r="FF13" s="16253"/>
      <c r="FG13" s="16253"/>
      <c r="FH13" s="16253"/>
      <c r="FI13" s="16253"/>
      <c r="FJ13" s="16253"/>
      <c r="FK13" s="16253"/>
      <c r="FL13" s="16253"/>
      <c r="FM13" s="16253"/>
      <c r="FN13" s="16253"/>
      <c r="FO13" s="16253"/>
      <c r="FP13" s="16253"/>
      <c r="FQ13" s="16253"/>
      <c r="FR13" s="16253"/>
      <c r="FS13" s="16253"/>
      <c r="FT13" s="16253"/>
      <c r="FU13" s="16253"/>
      <c r="FV13" s="16253"/>
      <c r="FW13" s="16265"/>
      <c r="FX13" s="660"/>
    </row>
    <row r="14" spans="2:180" ht="36" customHeight="1">
      <c r="D14" s="828"/>
      <c r="E14" s="827"/>
      <c r="F14" s="16080"/>
      <c r="G14" s="16080"/>
      <c r="H14" s="16080"/>
      <c r="I14" s="16080"/>
      <c r="J14" s="16255"/>
      <c r="K14" s="16255"/>
      <c r="L14" s="16255"/>
      <c r="M14" s="16255"/>
      <c r="N14" s="16255"/>
      <c r="O14" s="16170" t="s">
        <v>1158</v>
      </c>
      <c r="P14" s="16233"/>
      <c r="Q14" s="16170" t="s">
        <v>1159</v>
      </c>
      <c r="R14" s="16233"/>
      <c r="S14" s="16171"/>
      <c r="T14" s="16088"/>
      <c r="U14" s="16170" t="s">
        <v>888</v>
      </c>
      <c r="V14" s="16233"/>
      <c r="W14" s="16170" t="s">
        <v>891</v>
      </c>
      <c r="X14" s="16233"/>
      <c r="Y14" s="16170" t="s">
        <v>888</v>
      </c>
      <c r="Z14" s="16233"/>
      <c r="AA14" s="16170" t="s">
        <v>898</v>
      </c>
      <c r="AB14" s="16233"/>
      <c r="AC14" s="16253"/>
      <c r="AD14" s="16253"/>
      <c r="AE14" s="16253"/>
      <c r="AF14" s="16253"/>
      <c r="AG14" s="16253"/>
      <c r="AH14" s="16253"/>
      <c r="AI14" s="16253"/>
      <c r="AJ14" s="16253"/>
      <c r="AK14" s="16253"/>
      <c r="AL14" s="16253"/>
      <c r="AM14" s="16253"/>
      <c r="AN14" s="16253"/>
      <c r="AO14" s="16253"/>
      <c r="AP14" s="16253"/>
      <c r="AQ14" s="16253"/>
      <c r="AR14" s="16253"/>
      <c r="AS14" s="16253"/>
      <c r="AT14" s="16253"/>
      <c r="AU14" s="16253"/>
      <c r="AV14" s="16253"/>
      <c r="AW14" s="16253"/>
      <c r="AX14" s="16253"/>
      <c r="AY14" s="16253"/>
      <c r="AZ14" s="16253"/>
      <c r="BA14" s="16253"/>
      <c r="BB14" s="16253"/>
      <c r="BC14" s="16253"/>
      <c r="BD14" s="16253"/>
      <c r="BE14" s="16253"/>
      <c r="BF14" s="16253"/>
      <c r="BG14" s="16253"/>
      <c r="BH14" s="16253"/>
      <c r="BI14" s="16253"/>
      <c r="BJ14" s="16253"/>
      <c r="BK14" s="16253"/>
      <c r="BL14" s="16253"/>
      <c r="BM14" s="16253"/>
      <c r="BN14" s="16253"/>
      <c r="BO14" s="16253"/>
      <c r="BP14" s="16253"/>
      <c r="BQ14" s="16253"/>
      <c r="BR14" s="16253"/>
      <c r="BS14" s="16270"/>
      <c r="BT14" s="16171"/>
      <c r="BU14" s="16088"/>
      <c r="BV14" s="16171"/>
      <c r="BW14" s="16088"/>
      <c r="BX14" s="16171"/>
      <c r="BY14" s="16088"/>
      <c r="BZ14" s="16171"/>
      <c r="CA14" s="16088"/>
      <c r="CB14" s="16171"/>
      <c r="CC14" s="16088"/>
      <c r="CD14" s="16171"/>
      <c r="CE14" s="16088"/>
      <c r="CF14" s="16171"/>
      <c r="CG14" s="16088"/>
      <c r="CH14" s="16170" t="s">
        <v>1160</v>
      </c>
      <c r="CI14" s="16233"/>
      <c r="CJ14" s="16170" t="s">
        <v>1161</v>
      </c>
      <c r="CK14" s="16233"/>
      <c r="CL14" s="16254"/>
      <c r="CM14" s="16253"/>
      <c r="CN14" s="16253"/>
      <c r="CO14" s="16253"/>
      <c r="CP14" s="16253"/>
      <c r="CQ14" s="16253"/>
      <c r="CR14" s="16253"/>
      <c r="CS14" s="16253"/>
      <c r="CT14" s="16253"/>
      <c r="CU14" s="16253"/>
      <c r="CV14" s="16253"/>
      <c r="CW14" s="16253"/>
      <c r="CX14" s="16270"/>
      <c r="CY14" s="16171"/>
      <c r="CZ14" s="16088"/>
      <c r="DA14" s="16171"/>
      <c r="DB14" s="16088"/>
      <c r="DC14" s="16171"/>
      <c r="DD14" s="16088"/>
      <c r="DE14" s="16171"/>
      <c r="DF14" s="16088"/>
      <c r="DG14" s="16170" t="s">
        <v>1162</v>
      </c>
      <c r="DH14" s="16233"/>
      <c r="DI14" s="16170" t="s">
        <v>1163</v>
      </c>
      <c r="DJ14" s="16233"/>
      <c r="DK14" s="16254"/>
      <c r="DL14" s="16253"/>
      <c r="DM14" s="16253"/>
      <c r="DN14" s="16253"/>
      <c r="DO14" s="16253"/>
      <c r="DP14" s="16253"/>
      <c r="DQ14" s="16253"/>
      <c r="DR14" s="16253"/>
      <c r="DS14" s="16253"/>
      <c r="DT14" s="16253"/>
      <c r="DU14" s="16253"/>
      <c r="DV14" s="16253"/>
      <c r="DW14" s="16253"/>
      <c r="DX14" s="16253"/>
      <c r="DY14" s="16253"/>
      <c r="DZ14" s="16253"/>
      <c r="EA14" s="16253"/>
      <c r="EB14" s="16253"/>
      <c r="EC14" s="16253"/>
      <c r="ED14" s="16253"/>
      <c r="EE14" s="16253"/>
      <c r="EF14" s="16253"/>
      <c r="EG14" s="16253"/>
      <c r="EH14" s="16253"/>
      <c r="EI14" s="16253"/>
      <c r="EJ14" s="16253"/>
      <c r="EK14" s="16253"/>
      <c r="EL14" s="16253"/>
      <c r="EM14" s="16253"/>
      <c r="EN14" s="16253"/>
      <c r="EO14" s="16253"/>
      <c r="EP14" s="16253"/>
      <c r="EQ14" s="16253"/>
      <c r="ER14" s="16253"/>
      <c r="ES14" s="16253"/>
      <c r="ET14" s="16253"/>
      <c r="EU14" s="16253"/>
      <c r="EV14" s="16253"/>
      <c r="EW14" s="16253"/>
      <c r="EX14" s="16253"/>
      <c r="EY14" s="16253"/>
      <c r="EZ14" s="16253"/>
      <c r="FA14" s="16253"/>
      <c r="FB14" s="16253"/>
      <c r="FC14" s="16253"/>
      <c r="FD14" s="16253"/>
      <c r="FE14" s="16253"/>
      <c r="FF14" s="16253"/>
      <c r="FG14" s="16253"/>
      <c r="FH14" s="16253"/>
      <c r="FI14" s="16253"/>
      <c r="FJ14" s="16253"/>
      <c r="FK14" s="16253"/>
      <c r="FL14" s="16253"/>
      <c r="FM14" s="16253"/>
      <c r="FN14" s="16253"/>
      <c r="FO14" s="16253"/>
      <c r="FP14" s="16253"/>
      <c r="FQ14" s="16253"/>
      <c r="FR14" s="16253"/>
      <c r="FS14" s="16253"/>
      <c r="FT14" s="16253"/>
      <c r="FU14" s="16253"/>
      <c r="FV14" s="16253"/>
      <c r="FW14" s="16265"/>
      <c r="FX14" s="660"/>
    </row>
    <row r="15" spans="2:180" ht="36" customHeight="1">
      <c r="D15" s="828"/>
      <c r="E15" s="827"/>
      <c r="F15" s="16080"/>
      <c r="G15" s="16080"/>
      <c r="H15" s="16080"/>
      <c r="I15" s="16080"/>
      <c r="J15" s="16255"/>
      <c r="K15" s="16255"/>
      <c r="L15" s="16255"/>
      <c r="M15" s="16255"/>
      <c r="N15" s="16255"/>
      <c r="O15" s="16172"/>
      <c r="P15" s="16234"/>
      <c r="Q15" s="16172"/>
      <c r="R15" s="16234"/>
      <c r="S15" s="16172"/>
      <c r="T15" s="16234"/>
      <c r="U15" s="16172"/>
      <c r="V15" s="16234"/>
      <c r="W15" s="16172"/>
      <c r="X15" s="16234"/>
      <c r="Y15" s="16172"/>
      <c r="Z15" s="16234"/>
      <c r="AA15" s="16172"/>
      <c r="AB15" s="16234"/>
      <c r="AC15" s="16253"/>
      <c r="AD15" s="16253"/>
      <c r="AE15" s="16253"/>
      <c r="AF15" s="16253"/>
      <c r="AG15" s="16253"/>
      <c r="AH15" s="16253"/>
      <c r="AI15" s="16253"/>
      <c r="AJ15" s="16253"/>
      <c r="AK15" s="16253"/>
      <c r="AL15" s="16253"/>
      <c r="AM15" s="16253"/>
      <c r="AN15" s="16253"/>
      <c r="AO15" s="16253"/>
      <c r="AP15" s="16253"/>
      <c r="AQ15" s="16253"/>
      <c r="AR15" s="16253"/>
      <c r="AS15" s="16253"/>
      <c r="AT15" s="16253"/>
      <c r="AU15" s="16253"/>
      <c r="AV15" s="16253"/>
      <c r="AW15" s="16253"/>
      <c r="AX15" s="16253"/>
      <c r="AY15" s="16253"/>
      <c r="AZ15" s="16253"/>
      <c r="BA15" s="16253"/>
      <c r="BB15" s="16253"/>
      <c r="BC15" s="16253"/>
      <c r="BD15" s="16253"/>
      <c r="BE15" s="16253"/>
      <c r="BF15" s="16253"/>
      <c r="BG15" s="16253"/>
      <c r="BH15" s="16253"/>
      <c r="BI15" s="16253"/>
      <c r="BJ15" s="16253"/>
      <c r="BK15" s="16253"/>
      <c r="BL15" s="16253"/>
      <c r="BM15" s="16253"/>
      <c r="BN15" s="16253"/>
      <c r="BO15" s="16253"/>
      <c r="BP15" s="16253"/>
      <c r="BQ15" s="16253"/>
      <c r="BR15" s="16253"/>
      <c r="BS15" s="16270"/>
      <c r="BT15" s="16172"/>
      <c r="BU15" s="16234"/>
      <c r="BV15" s="16172"/>
      <c r="BW15" s="16234"/>
      <c r="BX15" s="16172"/>
      <c r="BY15" s="16234"/>
      <c r="BZ15" s="16172"/>
      <c r="CA15" s="16234"/>
      <c r="CB15" s="16172"/>
      <c r="CC15" s="16234"/>
      <c r="CD15" s="16172"/>
      <c r="CE15" s="16234"/>
      <c r="CF15" s="16172"/>
      <c r="CG15" s="16234"/>
      <c r="CH15" s="16172"/>
      <c r="CI15" s="16234"/>
      <c r="CJ15" s="16172"/>
      <c r="CK15" s="16234"/>
      <c r="CL15" s="16254"/>
      <c r="CM15" s="16253"/>
      <c r="CN15" s="16253"/>
      <c r="CO15" s="16253"/>
      <c r="CP15" s="16253"/>
      <c r="CQ15" s="16253"/>
      <c r="CR15" s="16253"/>
      <c r="CS15" s="16253"/>
      <c r="CT15" s="16253"/>
      <c r="CU15" s="16253"/>
      <c r="CV15" s="16253"/>
      <c r="CW15" s="16253"/>
      <c r="CX15" s="16270"/>
      <c r="CY15" s="16172"/>
      <c r="CZ15" s="16234"/>
      <c r="DA15" s="16172"/>
      <c r="DB15" s="16234"/>
      <c r="DC15" s="16172"/>
      <c r="DD15" s="16234"/>
      <c r="DE15" s="16172"/>
      <c r="DF15" s="16234"/>
      <c r="DG15" s="16172"/>
      <c r="DH15" s="16234"/>
      <c r="DI15" s="16172"/>
      <c r="DJ15" s="16234"/>
      <c r="DK15" s="16254"/>
      <c r="DL15" s="16253"/>
      <c r="DM15" s="16253"/>
      <c r="DN15" s="16253"/>
      <c r="DO15" s="16253"/>
      <c r="DP15" s="16253"/>
      <c r="DQ15" s="16253"/>
      <c r="DR15" s="16253"/>
      <c r="DS15" s="16253"/>
      <c r="DT15" s="16253"/>
      <c r="DU15" s="16253"/>
      <c r="DV15" s="16253"/>
      <c r="DW15" s="16253"/>
      <c r="DX15" s="16253"/>
      <c r="DY15" s="16253"/>
      <c r="DZ15" s="16253"/>
      <c r="EA15" s="16253"/>
      <c r="EB15" s="16253"/>
      <c r="EC15" s="16253"/>
      <c r="ED15" s="16253"/>
      <c r="EE15" s="16253"/>
      <c r="EF15" s="16253"/>
      <c r="EG15" s="16253"/>
      <c r="EH15" s="16253"/>
      <c r="EI15" s="16253"/>
      <c r="EJ15" s="16253"/>
      <c r="EK15" s="16253"/>
      <c r="EL15" s="16253"/>
      <c r="EM15" s="16253"/>
      <c r="EN15" s="16253"/>
      <c r="EO15" s="16253"/>
      <c r="EP15" s="16253"/>
      <c r="EQ15" s="16253"/>
      <c r="ER15" s="16253"/>
      <c r="ES15" s="16253"/>
      <c r="ET15" s="16253"/>
      <c r="EU15" s="16253"/>
      <c r="EV15" s="16253"/>
      <c r="EW15" s="16253"/>
      <c r="EX15" s="16253"/>
      <c r="EY15" s="16253"/>
      <c r="EZ15" s="16253"/>
      <c r="FA15" s="16253"/>
      <c r="FB15" s="16253"/>
      <c r="FC15" s="16253"/>
      <c r="FD15" s="16253"/>
      <c r="FE15" s="16253"/>
      <c r="FF15" s="16253"/>
      <c r="FG15" s="16253"/>
      <c r="FH15" s="16253"/>
      <c r="FI15" s="16253"/>
      <c r="FJ15" s="16253"/>
      <c r="FK15" s="16253"/>
      <c r="FL15" s="16253"/>
      <c r="FM15" s="16253"/>
      <c r="FN15" s="16253"/>
      <c r="FO15" s="16253"/>
      <c r="FP15" s="16253"/>
      <c r="FQ15" s="16253"/>
      <c r="FR15" s="16253"/>
      <c r="FS15" s="16253"/>
      <c r="FT15" s="16253"/>
      <c r="FU15" s="16253"/>
      <c r="FV15" s="16253"/>
      <c r="FW15" s="16265"/>
      <c r="FX15" s="660"/>
    </row>
    <row r="16" spans="2:180" ht="12" customHeight="1">
      <c r="D16" s="828"/>
      <c r="E16" s="827"/>
      <c r="F16" s="16080"/>
      <c r="G16" s="16080"/>
      <c r="H16" s="16080"/>
      <c r="I16" s="16080"/>
      <c r="J16" s="16255"/>
      <c r="K16" s="16255"/>
      <c r="L16" s="16255"/>
      <c r="M16" s="16255"/>
      <c r="N16" s="16255"/>
      <c r="O16" s="16250" t="s">
        <v>878</v>
      </c>
      <c r="P16" s="16252"/>
      <c r="Q16" s="16250" t="s">
        <v>880</v>
      </c>
      <c r="R16" s="16252"/>
      <c r="S16" s="16250" t="s">
        <v>884</v>
      </c>
      <c r="T16" s="16252"/>
      <c r="U16" s="16250" t="s">
        <v>889</v>
      </c>
      <c r="V16" s="16252"/>
      <c r="W16" s="16250" t="s">
        <v>892</v>
      </c>
      <c r="X16" s="16252"/>
      <c r="Y16" s="16250" t="s">
        <v>896</v>
      </c>
      <c r="Z16" s="16252"/>
      <c r="AA16" s="16250" t="s">
        <v>899</v>
      </c>
      <c r="AB16" s="16252"/>
      <c r="AC16" s="16253"/>
      <c r="AD16" s="16253"/>
      <c r="AE16" s="16253"/>
      <c r="AF16" s="16253"/>
      <c r="AG16" s="16253"/>
      <c r="AH16" s="16253"/>
      <c r="AI16" s="16253"/>
      <c r="AJ16" s="16253"/>
      <c r="AK16" s="16253"/>
      <c r="AL16" s="16253"/>
      <c r="AM16" s="16253"/>
      <c r="AN16" s="16253"/>
      <c r="AO16" s="16253"/>
      <c r="AP16" s="16253"/>
      <c r="AQ16" s="16253"/>
      <c r="AR16" s="16253"/>
      <c r="AS16" s="16253"/>
      <c r="AT16" s="16253"/>
      <c r="AU16" s="16253"/>
      <c r="AV16" s="16253"/>
      <c r="AW16" s="16253"/>
      <c r="AX16" s="16253"/>
      <c r="AY16" s="16253"/>
      <c r="AZ16" s="16253"/>
      <c r="BA16" s="16253"/>
      <c r="BB16" s="16253"/>
      <c r="BC16" s="16253"/>
      <c r="BD16" s="16253"/>
      <c r="BE16" s="16253"/>
      <c r="BF16" s="16253"/>
      <c r="BG16" s="16253"/>
      <c r="BH16" s="16253"/>
      <c r="BI16" s="16253"/>
      <c r="BJ16" s="16253"/>
      <c r="BK16" s="16253"/>
      <c r="BL16" s="16253"/>
      <c r="BM16" s="16253"/>
      <c r="BN16" s="16253"/>
      <c r="BO16" s="16253"/>
      <c r="BP16" s="16253"/>
      <c r="BQ16" s="16253"/>
      <c r="BR16" s="16253"/>
      <c r="BS16" s="16270"/>
      <c r="BT16" s="16250" t="s">
        <v>696</v>
      </c>
      <c r="BU16" s="16252"/>
      <c r="BV16" s="16250" t="s">
        <v>696</v>
      </c>
      <c r="BW16" s="16252"/>
      <c r="BX16" s="16250" t="s">
        <v>696</v>
      </c>
      <c r="BY16" s="16252"/>
      <c r="BZ16" s="16250" t="s">
        <v>696</v>
      </c>
      <c r="CA16" s="16252"/>
      <c r="CB16" s="16250" t="s">
        <v>1164</v>
      </c>
      <c r="CC16" s="16252"/>
      <c r="CD16" s="16250" t="s">
        <v>696</v>
      </c>
      <c r="CE16" s="16252"/>
      <c r="CF16" s="16250" t="s">
        <v>1165</v>
      </c>
      <c r="CG16" s="16252"/>
      <c r="CH16" s="16250" t="s">
        <v>1166</v>
      </c>
      <c r="CI16" s="16252"/>
      <c r="CJ16" s="16250" t="s">
        <v>1166</v>
      </c>
      <c r="CK16" s="16252"/>
      <c r="CL16" s="16254"/>
      <c r="CM16" s="16253"/>
      <c r="CN16" s="16253"/>
      <c r="CO16" s="16253"/>
      <c r="CP16" s="16253"/>
      <c r="CQ16" s="16253"/>
      <c r="CR16" s="16253"/>
      <c r="CS16" s="16253"/>
      <c r="CT16" s="16253"/>
      <c r="CU16" s="16253"/>
      <c r="CV16" s="16253"/>
      <c r="CW16" s="16253"/>
      <c r="CX16" s="16270"/>
      <c r="CY16" s="16170" t="s">
        <v>696</v>
      </c>
      <c r="CZ16" s="16233"/>
      <c r="DA16" s="16170" t="s">
        <v>696</v>
      </c>
      <c r="DB16" s="16233"/>
      <c r="DC16" s="16170" t="s">
        <v>696</v>
      </c>
      <c r="DD16" s="16233"/>
      <c r="DE16" s="16250" t="s">
        <v>1164</v>
      </c>
      <c r="DF16" s="16252"/>
      <c r="DG16" s="16250" t="s">
        <v>1167</v>
      </c>
      <c r="DH16" s="16252"/>
      <c r="DI16" s="16250" t="s">
        <v>1167</v>
      </c>
      <c r="DJ16" s="16252"/>
      <c r="DK16" s="16254"/>
      <c r="DL16" s="16253"/>
      <c r="DM16" s="16253"/>
      <c r="DN16" s="16253"/>
      <c r="DO16" s="16253"/>
      <c r="DP16" s="16253"/>
      <c r="DQ16" s="16253"/>
      <c r="DR16" s="16253"/>
      <c r="DS16" s="16253"/>
      <c r="DT16" s="16253"/>
      <c r="DU16" s="16253"/>
      <c r="DV16" s="16253"/>
      <c r="DW16" s="16253"/>
      <c r="DX16" s="16253"/>
      <c r="DY16" s="16253"/>
      <c r="DZ16" s="16253"/>
      <c r="EA16" s="16253"/>
      <c r="EB16" s="16253"/>
      <c r="EC16" s="16253"/>
      <c r="ED16" s="16253"/>
      <c r="EE16" s="16253"/>
      <c r="EF16" s="16253"/>
      <c r="EG16" s="16253"/>
      <c r="EH16" s="16253"/>
      <c r="EI16" s="16253"/>
      <c r="EJ16" s="16253"/>
      <c r="EK16" s="16253"/>
      <c r="EL16" s="16253"/>
      <c r="EM16" s="16253"/>
      <c r="EN16" s="16253"/>
      <c r="EO16" s="16253"/>
      <c r="EP16" s="16253"/>
      <c r="EQ16" s="16253"/>
      <c r="ER16" s="16253"/>
      <c r="ES16" s="16253"/>
      <c r="ET16" s="16253"/>
      <c r="EU16" s="16253"/>
      <c r="EV16" s="16253"/>
      <c r="EW16" s="16253"/>
      <c r="EX16" s="16253"/>
      <c r="EY16" s="16253"/>
      <c r="EZ16" s="16253"/>
      <c r="FA16" s="16253"/>
      <c r="FB16" s="16253"/>
      <c r="FC16" s="16253"/>
      <c r="FD16" s="16253"/>
      <c r="FE16" s="16253"/>
      <c r="FF16" s="16253"/>
      <c r="FG16" s="16253"/>
      <c r="FH16" s="16253"/>
      <c r="FI16" s="16253"/>
      <c r="FJ16" s="16253"/>
      <c r="FK16" s="16253"/>
      <c r="FL16" s="16253"/>
      <c r="FM16" s="16253"/>
      <c r="FN16" s="16253"/>
      <c r="FO16" s="16253"/>
      <c r="FP16" s="16253"/>
      <c r="FQ16" s="16253"/>
      <c r="FR16" s="16253"/>
      <c r="FS16" s="16253"/>
      <c r="FT16" s="16253"/>
      <c r="FU16" s="16253"/>
      <c r="FV16" s="16253"/>
      <c r="FW16" s="16265"/>
      <c r="FX16" s="660"/>
    </row>
    <row r="17" spans="1:184" ht="15" customHeight="1">
      <c r="E17" s="827"/>
      <c r="F17" s="16080"/>
      <c r="G17" s="16080"/>
      <c r="H17" s="16080"/>
      <c r="I17" s="16080"/>
      <c r="J17" s="16255"/>
      <c r="K17" s="16255"/>
      <c r="L17" s="16255"/>
      <c r="M17" s="16255"/>
      <c r="N17" s="16255"/>
      <c r="O17" s="1074" t="s">
        <v>1168</v>
      </c>
      <c r="P17" s="1074" t="s">
        <v>1169</v>
      </c>
      <c r="Q17" s="1074" t="s">
        <v>1168</v>
      </c>
      <c r="R17" s="1074" t="s">
        <v>1169</v>
      </c>
      <c r="S17" s="1074" t="s">
        <v>1168</v>
      </c>
      <c r="T17" s="1074" t="s">
        <v>1169</v>
      </c>
      <c r="U17" s="1074" t="s">
        <v>1168</v>
      </c>
      <c r="V17" s="1074" t="s">
        <v>1169</v>
      </c>
      <c r="W17" s="1074" t="s">
        <v>1168</v>
      </c>
      <c r="X17" s="1074" t="s">
        <v>1169</v>
      </c>
      <c r="Y17" s="1074" t="s">
        <v>1168</v>
      </c>
      <c r="Z17" s="1074" t="s">
        <v>1169</v>
      </c>
      <c r="AA17" s="1074" t="s">
        <v>1168</v>
      </c>
      <c r="AB17" s="1074" t="s">
        <v>1169</v>
      </c>
      <c r="AC17" s="16253"/>
      <c r="AD17" s="16253"/>
      <c r="AE17" s="16253"/>
      <c r="AF17" s="16253"/>
      <c r="AG17" s="16253"/>
      <c r="AH17" s="16253"/>
      <c r="AI17" s="16253"/>
      <c r="AJ17" s="16253"/>
      <c r="AK17" s="16253"/>
      <c r="AL17" s="16253"/>
      <c r="AM17" s="16253"/>
      <c r="AN17" s="16253"/>
      <c r="AO17" s="16253"/>
      <c r="AP17" s="16253"/>
      <c r="AQ17" s="16253"/>
      <c r="AR17" s="16253"/>
      <c r="AS17" s="16253"/>
      <c r="AT17" s="16253"/>
      <c r="AU17" s="16253"/>
      <c r="AV17" s="16253"/>
      <c r="AW17" s="16253"/>
      <c r="AX17" s="16253"/>
      <c r="AY17" s="16253"/>
      <c r="AZ17" s="16253"/>
      <c r="BA17" s="16253"/>
      <c r="BB17" s="16253"/>
      <c r="BC17" s="16253"/>
      <c r="BD17" s="16253"/>
      <c r="BE17" s="16253"/>
      <c r="BF17" s="16253"/>
      <c r="BG17" s="16253"/>
      <c r="BH17" s="16253"/>
      <c r="BI17" s="16253"/>
      <c r="BJ17" s="16253"/>
      <c r="BK17" s="16253"/>
      <c r="BL17" s="16253"/>
      <c r="BM17" s="16253"/>
      <c r="BN17" s="16253"/>
      <c r="BO17" s="16253"/>
      <c r="BP17" s="16253"/>
      <c r="BQ17" s="16253"/>
      <c r="BR17" s="16253"/>
      <c r="BS17" s="16270"/>
      <c r="BT17" s="1074" t="s">
        <v>1168</v>
      </c>
      <c r="BU17" s="1074" t="s">
        <v>1169</v>
      </c>
      <c r="BV17" s="1074" t="s">
        <v>1168</v>
      </c>
      <c r="BW17" s="1074" t="s">
        <v>1169</v>
      </c>
      <c r="BX17" s="1074" t="s">
        <v>1168</v>
      </c>
      <c r="BY17" s="1074" t="s">
        <v>1169</v>
      </c>
      <c r="BZ17" s="1074" t="s">
        <v>1168</v>
      </c>
      <c r="CA17" s="1074" t="s">
        <v>1169</v>
      </c>
      <c r="CB17" s="1074" t="s">
        <v>1168</v>
      </c>
      <c r="CC17" s="1074" t="s">
        <v>1169</v>
      </c>
      <c r="CD17" s="1074" t="s">
        <v>1168</v>
      </c>
      <c r="CE17" s="1074" t="s">
        <v>1169</v>
      </c>
      <c r="CF17" s="1074" t="s">
        <v>1168</v>
      </c>
      <c r="CG17" s="1074" t="s">
        <v>1169</v>
      </c>
      <c r="CH17" s="1074" t="s">
        <v>1168</v>
      </c>
      <c r="CI17" s="1074" t="s">
        <v>1169</v>
      </c>
      <c r="CJ17" s="1074" t="s">
        <v>1168</v>
      </c>
      <c r="CK17" s="1074" t="s">
        <v>1169</v>
      </c>
      <c r="CL17" s="16254"/>
      <c r="CM17" s="16253"/>
      <c r="CN17" s="16253"/>
      <c r="CO17" s="16253"/>
      <c r="CP17" s="16253"/>
      <c r="CQ17" s="16253"/>
      <c r="CR17" s="16253"/>
      <c r="CS17" s="16253"/>
      <c r="CT17" s="16253"/>
      <c r="CU17" s="16253"/>
      <c r="CV17" s="16253"/>
      <c r="CW17" s="16253"/>
      <c r="CX17" s="16270"/>
      <c r="CY17" s="1074" t="s">
        <v>1168</v>
      </c>
      <c r="CZ17" s="1074" t="s">
        <v>1169</v>
      </c>
      <c r="DA17" s="1074" t="s">
        <v>1168</v>
      </c>
      <c r="DB17" s="1074" t="s">
        <v>1169</v>
      </c>
      <c r="DC17" s="1074" t="s">
        <v>1168</v>
      </c>
      <c r="DD17" s="1074" t="s">
        <v>1169</v>
      </c>
      <c r="DE17" s="1074" t="s">
        <v>1168</v>
      </c>
      <c r="DF17" s="1074" t="s">
        <v>1169</v>
      </c>
      <c r="DG17" s="1074" t="s">
        <v>1168</v>
      </c>
      <c r="DH17" s="1074" t="s">
        <v>1169</v>
      </c>
      <c r="DI17" s="1074" t="s">
        <v>1168</v>
      </c>
      <c r="DJ17" s="1074" t="s">
        <v>1169</v>
      </c>
      <c r="DK17" s="16254"/>
      <c r="DL17" s="16253"/>
      <c r="DM17" s="16253"/>
      <c r="DN17" s="16253"/>
      <c r="DO17" s="16253"/>
      <c r="DP17" s="16253"/>
      <c r="DQ17" s="16253"/>
      <c r="DR17" s="16253"/>
      <c r="DS17" s="16253"/>
      <c r="DT17" s="16253"/>
      <c r="DU17" s="16253"/>
      <c r="DV17" s="16253"/>
      <c r="DW17" s="16253"/>
      <c r="DX17" s="16253"/>
      <c r="DY17" s="16253"/>
      <c r="DZ17" s="16253"/>
      <c r="EA17" s="16253"/>
      <c r="EB17" s="16253"/>
      <c r="EC17" s="16253"/>
      <c r="ED17" s="16253"/>
      <c r="EE17" s="16253"/>
      <c r="EF17" s="16253"/>
      <c r="EG17" s="16253"/>
      <c r="EH17" s="16253"/>
      <c r="EI17" s="16253"/>
      <c r="EJ17" s="16253"/>
      <c r="EK17" s="16253"/>
      <c r="EL17" s="16253"/>
      <c r="EM17" s="16253"/>
      <c r="EN17" s="16253"/>
      <c r="EO17" s="16253"/>
      <c r="EP17" s="16253"/>
      <c r="EQ17" s="16253"/>
      <c r="ER17" s="16253"/>
      <c r="ES17" s="16253"/>
      <c r="ET17" s="16253"/>
      <c r="EU17" s="16253"/>
      <c r="EV17" s="16253"/>
      <c r="EW17" s="16253"/>
      <c r="EX17" s="16253"/>
      <c r="EY17" s="16253"/>
      <c r="EZ17" s="16253"/>
      <c r="FA17" s="16253"/>
      <c r="FB17" s="16253"/>
      <c r="FC17" s="16253"/>
      <c r="FD17" s="16253"/>
      <c r="FE17" s="16253"/>
      <c r="FF17" s="16253"/>
      <c r="FG17" s="16253"/>
      <c r="FH17" s="16253"/>
      <c r="FI17" s="16253"/>
      <c r="FJ17" s="16253"/>
      <c r="FK17" s="16253"/>
      <c r="FL17" s="16253"/>
      <c r="FM17" s="16253"/>
      <c r="FN17" s="16253"/>
      <c r="FO17" s="16253"/>
      <c r="FP17" s="16253"/>
      <c r="FQ17" s="16253"/>
      <c r="FR17" s="16253"/>
      <c r="FS17" s="16253"/>
      <c r="FT17" s="16253"/>
      <c r="FU17" s="16253"/>
      <c r="FV17" s="16253"/>
      <c r="FW17" s="16266"/>
      <c r="FX17" s="660"/>
    </row>
    <row r="18" spans="1:184" s="15882"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15882"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15877" customFormat="1" ht="11.25" hidden="1" customHeight="1">
      <c r="B20" s="830"/>
      <c r="D20" s="817"/>
      <c r="E20" s="829"/>
      <c r="F20" s="1080" t="s">
        <v>513</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15877"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15877" customFormat="1" ht="12" customHeight="1">
      <c r="A22" s="831"/>
      <c r="B22" s="831"/>
      <c r="C22" s="831"/>
      <c r="D22" s="831"/>
      <c r="E22" s="831"/>
      <c r="FX22" s="831"/>
      <c r="FY22" s="831"/>
      <c r="FZ22" s="831"/>
      <c r="GA22" s="831"/>
      <c r="GB22" s="831"/>
    </row>
    <row r="23" spans="1:184" s="15883"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4406" hidden="1" customWidth="1"/>
    <col min="2" max="2" width="9.140625" style="14409" hidden="1" customWidth="1"/>
    <col min="3" max="3" width="4.7109375" style="15868" customWidth="1"/>
    <col min="4" max="4" width="6.28515625" style="14409" customWidth="1"/>
    <col min="5" max="5" width="36.7109375" style="14409" customWidth="1"/>
    <col min="6" max="6" width="9.5703125" style="14409" customWidth="1"/>
    <col min="7" max="7" width="42.42578125" style="14361" hidden="1" customWidth="1"/>
    <col min="8" max="8" width="40.7109375" style="14409" customWidth="1"/>
    <col min="9" max="9" width="93.42578125" style="14362" customWidth="1"/>
    <col min="10" max="17" width="10.5703125" style="14409"/>
    <col min="18" max="18" width="10.5703125" style="15869"/>
  </cols>
  <sheetData>
    <row r="1" spans="1:18" s="14362" customFormat="1" ht="15" hidden="1" customHeight="1">
      <c r="C1" s="574"/>
      <c r="H1" s="332">
        <v>4</v>
      </c>
      <c r="R1" s="334"/>
    </row>
    <row r="2" spans="1:18" ht="22.5" hidden="1" customHeight="1">
      <c r="C2" s="1788" t="s">
        <v>103</v>
      </c>
      <c r="D2" s="445"/>
      <c r="E2" s="565"/>
      <c r="F2" s="1623" t="str">
        <f>IF(TEMPLATE_SPHERE="HEAT","Гкал/час","тыс. куб. м/сутки")</f>
        <v>тыс. куб. м/сутки</v>
      </c>
      <c r="G2" s="582"/>
      <c r="H2" s="582"/>
      <c r="I2" s="206"/>
    </row>
    <row r="3" spans="1:18" s="14362" customFormat="1" ht="15" hidden="1" customHeight="1">
      <c r="C3" s="574"/>
      <c r="R3" s="334"/>
    </row>
    <row r="4" spans="1:18" ht="15" customHeight="1">
      <c r="C4" s="99"/>
      <c r="D4" s="416"/>
      <c r="E4" s="416"/>
      <c r="F4" s="416"/>
      <c r="G4" s="416"/>
      <c r="H4" s="416"/>
    </row>
    <row r="5" spans="1:18" ht="37.5" customHeight="1">
      <c r="C5" s="99"/>
      <c r="D5" s="1610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16108"/>
      <c r="F5" s="16108"/>
      <c r="G5" s="16108"/>
      <c r="H5" s="16108"/>
      <c r="I5" s="443"/>
    </row>
    <row r="6" spans="1:18" ht="15" customHeight="1">
      <c r="C6" s="99"/>
      <c r="D6" s="16056" t="str">
        <f>IF(org=0,"Не определено",org)</f>
        <v>АО "Мурманэнергосбыт"</v>
      </c>
      <c r="E6" s="16056"/>
      <c r="F6" s="16056"/>
      <c r="G6" s="16056"/>
      <c r="H6" s="16056"/>
      <c r="I6" s="443"/>
    </row>
    <row r="7" spans="1:18" s="14361" customFormat="1" ht="15" customHeight="1">
      <c r="A7" s="657"/>
      <c r="C7" s="99"/>
      <c r="D7" s="578"/>
      <c r="E7" s="578"/>
      <c r="F7" s="578"/>
      <c r="G7" s="578"/>
      <c r="H7" s="650"/>
      <c r="I7" s="443"/>
      <c r="R7" s="577"/>
    </row>
    <row r="8" spans="1:18" ht="0.75" customHeight="1">
      <c r="C8" s="99"/>
      <c r="D8" s="416"/>
      <c r="E8" s="416"/>
      <c r="F8" s="416"/>
      <c r="G8" s="416"/>
      <c r="H8" s="443" t="s">
        <v>152</v>
      </c>
    </row>
    <row r="9" spans="1:18" ht="15" customHeight="1">
      <c r="C9" s="99"/>
      <c r="D9" s="611"/>
      <c r="E9" s="16203" t="s">
        <v>143</v>
      </c>
      <c r="F9" s="16204"/>
      <c r="G9" s="714" t="str">
        <f>IF(G8="","",INDEX(DIFFERENTIATION_UNMERGE_VD,MATCH(G8,DIFFERENTIATION_ID_DIFF,0)))</f>
        <v/>
      </c>
      <c r="H9" s="714">
        <f>IF(H8="","",INDEX(DIFFERENTIATION_UNMERGE_VD,MATCH(H8,DIFFERENTIATION_ID_DIFF,0)))</f>
        <v>0</v>
      </c>
      <c r="I9" s="15992" t="s">
        <v>438</v>
      </c>
    </row>
    <row r="10" spans="1:18" s="14361" customFormat="1" ht="15" customHeight="1">
      <c r="A10" s="657"/>
      <c r="C10" s="99"/>
      <c r="D10" s="611"/>
      <c r="E10" s="16203" t="s">
        <v>702</v>
      </c>
      <c r="F10" s="16204"/>
      <c r="G10" s="714" t="str">
        <f>IF(G8="","",INDEX(DIFFERENTIATION_UNMERGE_AREA,MATCH(G8,DIFFERENTIATION_ID_DIFF,0)))</f>
        <v/>
      </c>
      <c r="H10" s="714" t="str">
        <f>IF(H8="","",INDEX(DIFFERENTIATION_UNMERGE_AREA,MATCH(H8,DIFFERENTIATION_ID_DIFF,0)))</f>
        <v/>
      </c>
      <c r="I10" s="15992"/>
      <c r="R10" s="577"/>
    </row>
    <row r="11" spans="1:18" s="14361" customFormat="1" ht="15" customHeight="1">
      <c r="A11" s="657"/>
      <c r="C11" s="99"/>
      <c r="D11" s="611"/>
      <c r="E11" s="16203" t="s">
        <v>703</v>
      </c>
      <c r="F11" s="16204"/>
      <c r="G11" s="714" t="str">
        <f>IF(G8="","",INDEX(DIFFERENTIATION_UNMERGE_SYSTEM,MATCH(G8,DIFFERENTIATION_ID_DIFF,0)))</f>
        <v/>
      </c>
      <c r="H11" s="714" t="str">
        <f>IF(H8="","",INDEX(DIFFERENTIATION_UNMERGE_SYSTEM,MATCH(H8,DIFFERENTIATION_ID_DIFF,0)))</f>
        <v>без дифференциации</v>
      </c>
      <c r="I11" s="15992"/>
      <c r="R11" s="577"/>
    </row>
    <row r="12" spans="1:18" s="14361" customFormat="1" ht="15" customHeight="1">
      <c r="A12" s="657"/>
      <c r="C12" s="99"/>
      <c r="D12" s="16205" t="s">
        <v>437</v>
      </c>
      <c r="E12" s="16206"/>
      <c r="F12" s="16206"/>
      <c r="G12" s="781"/>
      <c r="H12" s="781"/>
      <c r="I12" s="15992"/>
      <c r="R12" s="577"/>
    </row>
    <row r="13" spans="1:18" ht="33.75" customHeight="1">
      <c r="C13" s="99"/>
      <c r="D13" s="659" t="s">
        <v>87</v>
      </c>
      <c r="E13" s="658" t="s">
        <v>439</v>
      </c>
      <c r="F13" s="658" t="s">
        <v>704</v>
      </c>
      <c r="G13" s="706" t="s">
        <v>440</v>
      </c>
      <c r="H13" s="652" t="s">
        <v>440</v>
      </c>
      <c r="I13" s="15992"/>
    </row>
    <row r="14" spans="1:18" ht="15" hidden="1" customHeight="1">
      <c r="C14" s="99"/>
      <c r="D14" s="497" t="s">
        <v>147</v>
      </c>
      <c r="E14" s="497" t="s">
        <v>102</v>
      </c>
      <c r="F14" s="497" t="s">
        <v>89</v>
      </c>
      <c r="G14" s="561" t="str">
        <f>G1&amp;".1"</f>
        <v>.1</v>
      </c>
      <c r="H14" s="561" t="str">
        <f>H1&amp;".1"</f>
        <v>4.1</v>
      </c>
      <c r="I14" s="206"/>
    </row>
    <row r="15" spans="1:18" ht="15" customHeight="1">
      <c r="A15" s="412"/>
      <c r="C15" s="433"/>
      <c r="D15" s="428">
        <v>1</v>
      </c>
      <c r="E15" s="1790" t="str">
        <f>TP_P_A</f>
        <v xml:space="preserve">Количество поданных заявлений </v>
      </c>
      <c r="F15" s="428" t="s">
        <v>1170</v>
      </c>
      <c r="G15" s="586"/>
      <c r="H15" s="586"/>
      <c r="I15" s="1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12"/>
      <c r="C16" s="433"/>
      <c r="D16" s="428">
        <v>2</v>
      </c>
      <c r="E16" s="1790" t="str">
        <f>TP_P_B</f>
        <v xml:space="preserve">Количество исполненных заявлений </v>
      </c>
      <c r="F16" s="428" t="s">
        <v>1170</v>
      </c>
      <c r="G16" s="586"/>
      <c r="H16" s="586"/>
      <c r="I16" s="1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73.5" customHeight="1">
      <c r="A17" s="412"/>
      <c r="C17" s="433"/>
      <c r="D17" s="428">
        <v>3</v>
      </c>
      <c r="E17" s="179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1170</v>
      </c>
      <c r="G17" s="586"/>
      <c r="H17" s="586"/>
      <c r="I17" s="13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52.5" customHeight="1">
      <c r="A18" s="412"/>
      <c r="C18" s="433"/>
      <c r="D18" s="428">
        <v>4</v>
      </c>
      <c r="E18" s="1790" t="str">
        <f>TP_P_V_1</f>
        <v>Причины отказа в заключении договора о подключении (технологическом присоединении) к централизованной системе горячего водоснабжения</v>
      </c>
      <c r="F18" s="428" t="s">
        <v>443</v>
      </c>
      <c r="G18" s="587"/>
      <c r="H18" s="587"/>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9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28" t="str">
        <f>IF(TEMPLATE_SPHERE="HEAT","Гкал/час","тыс. куб. м/сутки")</f>
        <v>тыс. куб. м/сутки</v>
      </c>
      <c r="G19" s="588">
        <f>SUM(G20:G22)</f>
        <v>0</v>
      </c>
      <c r="H19" s="588">
        <f>SUM(H20:H22)</f>
        <v>0</v>
      </c>
      <c r="I19" s="13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16" t="s">
        <v>1171</v>
      </c>
      <c r="E20" s="589"/>
      <c r="F20" s="416"/>
      <c r="G20" s="416"/>
      <c r="H20" s="416"/>
      <c r="I20" s="1625"/>
    </row>
    <row r="21" spans="1:18" ht="27.75" customHeight="1">
      <c r="C21" s="363"/>
      <c r="D21" s="445" t="s">
        <v>450</v>
      </c>
      <c r="E21" s="572"/>
      <c r="F21" s="1623" t="str">
        <f>IF(TEMPLATE_SPHERE="HEAT","Гкал/час","тыс. куб. м/сутки")</f>
        <v>тыс. куб. м/сутки</v>
      </c>
      <c r="G21" s="582"/>
      <c r="H21" s="582"/>
      <c r="I21" s="1603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12"/>
      <c r="C22" s="412"/>
      <c r="D22" s="263"/>
      <c r="E22" s="486" t="s">
        <v>1172</v>
      </c>
      <c r="F22" s="478"/>
      <c r="G22" s="478"/>
      <c r="H22" s="478"/>
      <c r="I22" s="16034"/>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5887" hidden="1" customWidth="1"/>
    <col min="2" max="2" width="9.140625" style="15888" hidden="1" customWidth="1"/>
    <col min="3" max="3" width="3.7109375" style="15889" customWidth="1"/>
    <col min="4" max="4" width="6.28515625" style="14364" customWidth="1"/>
    <col min="5" max="6" width="64.140625" style="14364" customWidth="1"/>
    <col min="7" max="7" width="141.140625" style="14364" customWidth="1"/>
    <col min="8" max="8" width="10.5703125" style="14364"/>
    <col min="9" max="10" width="10.5703125" style="14365"/>
    <col min="11" max="16" width="10.5703125" style="14364"/>
  </cols>
  <sheetData>
    <row r="1" spans="1:16" ht="14.25" hidden="1" customHeight="1">
      <c r="M1" s="174"/>
      <c r="N1" s="174"/>
      <c r="P1" s="174"/>
    </row>
    <row r="2" spans="1:16" ht="14.25" hidden="1" customHeight="1"/>
    <row r="3" spans="1:16" ht="14.25" hidden="1" customHeight="1"/>
    <row r="4" spans="1:16" ht="3" customHeight="1">
      <c r="C4" s="32"/>
      <c r="D4" s="20"/>
      <c r="E4" s="20"/>
      <c r="F4" s="21"/>
      <c r="G4" s="21"/>
    </row>
    <row r="5" spans="1:16" ht="27.75" customHeight="1">
      <c r="C5" s="32"/>
      <c r="D5" s="1602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16023"/>
      <c r="F5" s="16023"/>
      <c r="G5" s="16024"/>
    </row>
    <row r="6" spans="1:16" s="14361" customFormat="1" ht="18" customHeight="1">
      <c r="A6" s="776"/>
      <c r="B6" s="332"/>
      <c r="C6" s="291"/>
      <c r="D6" s="16089" t="str">
        <f>IF(org=0,"Не определено",org)</f>
        <v>АО "Мурманэнергосбыт"</v>
      </c>
      <c r="E6" s="16090"/>
      <c r="F6" s="16090"/>
      <c r="G6" s="16091"/>
      <c r="I6" s="407"/>
      <c r="J6" s="407"/>
    </row>
    <row r="7" spans="1:16" ht="14.25" customHeight="1">
      <c r="C7" s="32"/>
      <c r="D7" s="20"/>
      <c r="E7" s="31"/>
      <c r="F7" s="650"/>
      <c r="G7" s="115"/>
    </row>
    <row r="8" spans="1:16" s="14433" customFormat="1" ht="0.75" customHeight="1">
      <c r="A8" s="1532"/>
      <c r="B8" s="1041"/>
      <c r="C8" s="291"/>
      <c r="D8" s="279"/>
      <c r="E8" s="304"/>
      <c r="F8" s="650"/>
      <c r="G8" s="115"/>
      <c r="I8" s="1487"/>
      <c r="J8" s="1487"/>
    </row>
    <row r="9" spans="1:16" ht="14.25" customHeight="1">
      <c r="C9" s="32"/>
      <c r="D9" s="16084" t="s">
        <v>437</v>
      </c>
      <c r="E9" s="16084"/>
      <c r="F9" s="16084"/>
      <c r="G9" s="16271" t="s">
        <v>438</v>
      </c>
    </row>
    <row r="10" spans="1:16" ht="14.25" customHeight="1">
      <c r="C10" s="32"/>
      <c r="D10" s="38" t="s">
        <v>87</v>
      </c>
      <c r="E10" s="41" t="s">
        <v>439</v>
      </c>
      <c r="F10" s="41" t="s">
        <v>527</v>
      </c>
      <c r="G10" s="16271"/>
    </row>
    <row r="11" spans="1:16" ht="12" hidden="1" customHeight="1">
      <c r="C11" s="32"/>
      <c r="D11" s="23"/>
      <c r="E11" s="23"/>
      <c r="F11" s="23"/>
      <c r="G11" s="23"/>
    </row>
    <row r="12" spans="1:16" ht="62.25" customHeight="1">
      <c r="A12" s="114"/>
      <c r="C12" s="32"/>
      <c r="D12" s="73">
        <v>1</v>
      </c>
      <c r="E12" s="1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20" t="s">
        <v>443</v>
      </c>
      <c r="G12" s="77"/>
    </row>
    <row r="13" spans="1:16" ht="22.5" customHeight="1">
      <c r="A13" s="114"/>
      <c r="C13" s="32"/>
      <c r="D13" s="73" t="s">
        <v>1077</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443</v>
      </c>
      <c r="G13" s="77"/>
    </row>
    <row r="14" spans="1:16" ht="14.25" customHeight="1">
      <c r="A14" s="114"/>
      <c r="C14" s="32"/>
      <c r="D14" s="73" t="s">
        <v>1113</v>
      </c>
      <c r="E14" s="117"/>
      <c r="F14" s="135"/>
      <c r="G14" s="160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2"/>
      <c r="D15" s="42"/>
      <c r="E15" s="265" t="s">
        <v>1173</v>
      </c>
      <c r="F15" s="123"/>
      <c r="G15" s="16034"/>
    </row>
    <row r="16" spans="1:16" ht="14.25" customHeight="1">
      <c r="A16" s="114"/>
      <c r="C16" s="32"/>
      <c r="D16" s="73" t="s">
        <v>1079</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20" t="s">
        <v>443</v>
      </c>
      <c r="G16" s="254"/>
    </row>
    <row r="17" spans="1:16" ht="14.25" customHeight="1">
      <c r="A17" s="114"/>
      <c r="C17" s="32"/>
      <c r="D17" s="73" t="s">
        <v>1121</v>
      </c>
      <c r="E17" s="117"/>
      <c r="F17" s="300"/>
      <c r="G17" s="160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5886" customFormat="1" ht="21" customHeight="1">
      <c r="A18" s="259"/>
      <c r="B18" s="72"/>
      <c r="C18" s="224"/>
      <c r="D18" s="263"/>
      <c r="E18" s="265" t="s">
        <v>1174</v>
      </c>
      <c r="F18" s="255"/>
      <c r="G18" s="16034"/>
      <c r="I18" s="266"/>
      <c r="J18" s="266"/>
    </row>
    <row r="19" spans="1:16" s="14361" customFormat="1" ht="256.5" hidden="1" customHeight="1">
      <c r="A19" s="259"/>
      <c r="B19" s="332"/>
      <c r="C19" s="291"/>
      <c r="D19" s="778" t="s">
        <v>1081</v>
      </c>
      <c r="E19" s="777" t="s">
        <v>1175</v>
      </c>
      <c r="F19" s="300"/>
      <c r="G19" s="254" t="s">
        <v>1176</v>
      </c>
      <c r="I19" s="407"/>
      <c r="J19" s="407"/>
    </row>
    <row r="20" spans="1:16" s="15886" customFormat="1" ht="14.25" customHeight="1">
      <c r="A20" s="259"/>
      <c r="B20" s="72"/>
      <c r="C20" s="224"/>
      <c r="D20" s="779">
        <v>2</v>
      </c>
      <c r="E20" s="247" t="s">
        <v>1177</v>
      </c>
      <c r="F20" s="120" t="s">
        <v>443</v>
      </c>
      <c r="G20" s="254"/>
      <c r="I20" s="266"/>
      <c r="J20" s="266"/>
    </row>
    <row r="21" spans="1:16" s="15886" customFormat="1" ht="18.75" hidden="1" customHeight="1">
      <c r="A21" s="259"/>
      <c r="B21" s="72"/>
      <c r="C21" s="224"/>
      <c r="D21" s="250" t="s">
        <v>1007</v>
      </c>
      <c r="E21" s="249"/>
      <c r="F21" s="248"/>
      <c r="G21" s="258"/>
      <c r="H21" s="251"/>
      <c r="I21" s="266"/>
      <c r="J21" s="266"/>
    </row>
    <row r="22" spans="1:16" ht="15" customHeight="1">
      <c r="A22" s="114"/>
      <c r="C22" s="32"/>
      <c r="D22" s="42"/>
      <c r="E22" s="125" t="s">
        <v>459</v>
      </c>
      <c r="F22" s="255"/>
      <c r="G22" s="256"/>
    </row>
    <row r="23" spans="1:16" s="14433" customFormat="1" ht="22.5" hidden="1" customHeight="1">
      <c r="A23" s="259"/>
      <c r="B23" s="1041"/>
      <c r="C23" s="291"/>
      <c r="D23" s="1536" t="s">
        <v>102</v>
      </c>
      <c r="E23" s="119" t="s">
        <v>1178</v>
      </c>
      <c r="F23" s="1533" t="s">
        <v>443</v>
      </c>
      <c r="G23" s="261"/>
      <c r="I23" s="1487"/>
      <c r="J23" s="1487"/>
    </row>
    <row r="24" spans="1:16" s="14433" customFormat="1" ht="14.25" hidden="1" customHeight="1">
      <c r="A24" s="259"/>
      <c r="B24" s="1041"/>
      <c r="C24" s="291"/>
      <c r="D24" s="1536" t="s">
        <v>760</v>
      </c>
      <c r="E24" s="1535" t="s">
        <v>1179</v>
      </c>
      <c r="F24" s="1533" t="s">
        <v>443</v>
      </c>
      <c r="G24" s="254"/>
      <c r="I24" s="1487"/>
      <c r="J24" s="1487"/>
    </row>
    <row r="25" spans="1:16" s="14433" customFormat="1" ht="14.25" hidden="1" customHeight="1">
      <c r="A25" s="259"/>
      <c r="B25" s="1041"/>
      <c r="C25" s="291"/>
      <c r="D25" s="1536" t="s">
        <v>763</v>
      </c>
      <c r="E25" s="117"/>
      <c r="F25" s="300"/>
      <c r="G25" s="16032" t="s">
        <v>1180</v>
      </c>
      <c r="I25" s="1487"/>
      <c r="J25" s="1487"/>
    </row>
    <row r="26" spans="1:16" s="14433" customFormat="1" ht="22.5" hidden="1" customHeight="1">
      <c r="A26" s="259"/>
      <c r="B26" s="1041"/>
      <c r="C26" s="291"/>
      <c r="D26" s="263"/>
      <c r="E26" s="265" t="s">
        <v>1181</v>
      </c>
      <c r="F26" s="255"/>
      <c r="G26" s="16034"/>
      <c r="I26" s="1487"/>
      <c r="J26" s="1487"/>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4423" hidden="1" customWidth="1"/>
    <col min="2" max="2" width="9.140625" style="15888" hidden="1" customWidth="1"/>
    <col min="3" max="3" width="3.7109375" style="15889" customWidth="1"/>
    <col min="4" max="4" width="6.28515625" style="14364" customWidth="1"/>
    <col min="5" max="5" width="63.42578125" style="14364" customWidth="1"/>
    <col min="6" max="6" width="1.7109375" style="14364" hidden="1" customWidth="1"/>
    <col min="7" max="8" width="35.7109375" style="14364" customWidth="1"/>
    <col min="9" max="9" width="91.5703125" style="14364" customWidth="1"/>
    <col min="10" max="10" width="68.85546875" style="14364" customWidth="1"/>
    <col min="11" max="12" width="10.5703125" style="14365"/>
  </cols>
  <sheetData>
    <row r="1" spans="1:12" ht="14.25" hidden="1" customHeight="1"/>
    <row r="2" spans="1:12" s="14433" customFormat="1" ht="18.75" hidden="1" customHeight="1">
      <c r="A2" s="1546"/>
      <c r="B2" s="1041"/>
      <c r="C2" s="1592" t="s">
        <v>103</v>
      </c>
      <c r="D2" s="1536"/>
      <c r="E2" s="121"/>
      <c r="F2" s="1533"/>
      <c r="G2" s="1533" t="s">
        <v>443</v>
      </c>
      <c r="H2" s="1042"/>
      <c r="K2" s="1487"/>
      <c r="L2" s="1487"/>
    </row>
    <row r="3" spans="1:12" s="14433" customFormat="1" ht="14.25" hidden="1" customHeight="1">
      <c r="A3" s="1239"/>
      <c r="B3" s="1041"/>
      <c r="C3" s="260"/>
      <c r="K3" s="1487"/>
      <c r="L3" s="1487"/>
    </row>
    <row r="4" spans="1:12" s="14433" customFormat="1" ht="18.75" hidden="1" customHeight="1">
      <c r="A4" s="1546"/>
      <c r="B4" s="1041"/>
      <c r="C4" s="1592" t="s">
        <v>103</v>
      </c>
      <c r="D4" s="1536"/>
      <c r="E4" s="127" t="s">
        <v>1182</v>
      </c>
      <c r="F4" s="1533"/>
      <c r="G4" s="176"/>
      <c r="H4" s="1533" t="s">
        <v>443</v>
      </c>
      <c r="K4" s="1487"/>
      <c r="L4" s="1487"/>
    </row>
    <row r="5" spans="1:12" s="14433" customFormat="1" ht="14.25" hidden="1" customHeight="1">
      <c r="A5" s="1239"/>
      <c r="B5" s="1041"/>
      <c r="C5" s="260"/>
      <c r="K5" s="1487"/>
      <c r="L5" s="1487"/>
    </row>
    <row r="6" spans="1:12" s="14433" customFormat="1" ht="18.75" hidden="1" customHeight="1">
      <c r="A6" s="1546"/>
      <c r="B6" s="1041"/>
      <c r="C6" s="1592" t="s">
        <v>103</v>
      </c>
      <c r="D6" s="1536"/>
      <c r="E6" s="128" t="s">
        <v>1183</v>
      </c>
      <c r="F6" s="1533"/>
      <c r="G6" s="176"/>
      <c r="H6" s="1533" t="s">
        <v>443</v>
      </c>
      <c r="K6" s="1487"/>
      <c r="L6" s="1487"/>
    </row>
    <row r="7" spans="1:12" s="14433" customFormat="1" ht="14.25" hidden="1" customHeight="1">
      <c r="A7" s="1239"/>
      <c r="B7" s="1041"/>
      <c r="C7" s="260"/>
      <c r="K7" s="1487"/>
      <c r="L7" s="1487"/>
    </row>
    <row r="8" spans="1:12" s="14433" customFormat="1" ht="18.75" hidden="1" customHeight="1">
      <c r="A8" s="1546"/>
      <c r="B8" s="1041"/>
      <c r="C8" s="1592" t="s">
        <v>103</v>
      </c>
      <c r="D8" s="1536"/>
      <c r="E8" s="128" t="s">
        <v>1184</v>
      </c>
      <c r="F8" s="1533"/>
      <c r="G8" s="176"/>
      <c r="H8" s="1533" t="s">
        <v>443</v>
      </c>
      <c r="K8" s="1487"/>
      <c r="L8" s="1487"/>
    </row>
    <row r="9" spans="1:12" s="14433" customFormat="1" ht="14.25" hidden="1" customHeight="1">
      <c r="A9" s="1239"/>
      <c r="B9" s="1041"/>
      <c r="C9" s="260"/>
      <c r="K9" s="1487"/>
      <c r="L9" s="1487"/>
    </row>
    <row r="10" spans="1:12" s="14433" customFormat="1" ht="18.75" hidden="1" customHeight="1">
      <c r="A10" s="1546"/>
      <c r="B10" s="1041"/>
      <c r="C10" s="1592" t="s">
        <v>103</v>
      </c>
      <c r="D10" s="1536"/>
      <c r="E10" s="128" t="s">
        <v>1185</v>
      </c>
      <c r="F10" s="1533"/>
      <c r="G10" s="1537"/>
      <c r="H10" s="1533" t="s">
        <v>443</v>
      </c>
      <c r="K10" s="1487"/>
      <c r="L10" s="1487" t="s">
        <v>1186</v>
      </c>
    </row>
    <row r="11" spans="1:12" ht="14.25" hidden="1" customHeight="1"/>
    <row r="12" spans="1:12" ht="14.25" hidden="1" customHeight="1"/>
    <row r="13" spans="1:12" ht="14.25" customHeight="1">
      <c r="C13" s="32"/>
      <c r="D13" s="20"/>
      <c r="E13" s="20"/>
      <c r="F13" s="20"/>
      <c r="G13" s="20"/>
      <c r="H13" s="21"/>
      <c r="I13" s="21"/>
    </row>
    <row r="14" spans="1:12" ht="27.75" customHeight="1">
      <c r="C14" s="32"/>
      <c r="D14" s="1602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16023"/>
      <c r="F14" s="16023"/>
      <c r="G14" s="16023"/>
      <c r="H14" s="16024"/>
      <c r="J14" s="1494"/>
    </row>
    <row r="15" spans="1:12" s="14433" customFormat="1" ht="14.25" customHeight="1">
      <c r="A15" s="1239"/>
      <c r="B15" s="1041"/>
      <c r="C15" s="291"/>
      <c r="D15" s="16089" t="str">
        <f>IF(org=0,"Не определено",org)</f>
        <v>АО "Мурманэнергосбыт"</v>
      </c>
      <c r="E15" s="16090"/>
      <c r="F15" s="16090"/>
      <c r="G15" s="16090"/>
      <c r="H15" s="16091"/>
      <c r="J15" s="746"/>
      <c r="K15" s="1487"/>
      <c r="L15" s="1487"/>
    </row>
    <row r="16" spans="1:12" ht="14.25" customHeight="1">
      <c r="C16" s="32"/>
      <c r="D16" s="20"/>
      <c r="E16" s="31"/>
      <c r="F16" s="31"/>
      <c r="G16" s="31"/>
      <c r="H16" s="650"/>
      <c r="I16" s="115"/>
    </row>
    <row r="17" spans="1:12" s="14433" customFormat="1" ht="14.25" hidden="1" customHeight="1">
      <c r="A17" s="1239"/>
      <c r="B17" s="1041"/>
      <c r="C17" s="291"/>
      <c r="D17" s="279"/>
      <c r="E17" s="304"/>
      <c r="F17" s="304"/>
      <c r="G17" s="304"/>
      <c r="H17" s="650"/>
      <c r="I17" s="115"/>
      <c r="K17" s="1487"/>
      <c r="L17" s="1487"/>
    </row>
    <row r="18" spans="1:12" ht="21" customHeight="1">
      <c r="C18" s="32"/>
      <c r="D18" s="16084" t="s">
        <v>437</v>
      </c>
      <c r="E18" s="16084"/>
      <c r="F18" s="16084"/>
      <c r="G18" s="16084"/>
      <c r="H18" s="16084"/>
      <c r="I18" s="16271" t="s">
        <v>438</v>
      </c>
    </row>
    <row r="19" spans="1:12" ht="21" customHeight="1">
      <c r="C19" s="32"/>
      <c r="D19" s="38" t="s">
        <v>87</v>
      </c>
      <c r="E19" s="41" t="s">
        <v>439</v>
      </c>
      <c r="F19" s="41"/>
      <c r="G19" s="41" t="s">
        <v>440</v>
      </c>
      <c r="H19" s="41" t="s">
        <v>527</v>
      </c>
      <c r="I19" s="16271"/>
    </row>
    <row r="20" spans="1:12" ht="12" hidden="1" customHeight="1">
      <c r="C20" s="32"/>
      <c r="D20" s="23"/>
      <c r="E20" s="23"/>
      <c r="F20" s="23"/>
      <c r="G20" s="23"/>
      <c r="H20" s="23"/>
      <c r="I20" s="23"/>
    </row>
    <row r="21" spans="1:12" ht="14.25" customHeight="1">
      <c r="A21" s="1546"/>
      <c r="C21" s="32"/>
      <c r="D21" s="73">
        <v>1</v>
      </c>
      <c r="E21" s="16272" t="s">
        <v>1187</v>
      </c>
      <c r="F21" s="16272"/>
      <c r="G21" s="16272"/>
      <c r="H21" s="16272"/>
      <c r="I21" s="130"/>
    </row>
    <row r="22" spans="1:12" ht="20.25" customHeight="1">
      <c r="A22" s="1546"/>
      <c r="C22" s="32"/>
      <c r="D22" s="73" t="s">
        <v>1077</v>
      </c>
      <c r="E22" s="116" t="s">
        <v>1188</v>
      </c>
      <c r="F22" s="120"/>
      <c r="G22" s="1599"/>
      <c r="H22" s="120" t="s">
        <v>443</v>
      </c>
      <c r="I22" s="77" t="s">
        <v>1189</v>
      </c>
    </row>
    <row r="23" spans="1:12" ht="45" customHeight="1">
      <c r="A23" s="1546"/>
      <c r="C23" s="32"/>
      <c r="D23" s="73" t="s">
        <v>1079</v>
      </c>
      <c r="E23" s="116" t="s">
        <v>1190</v>
      </c>
      <c r="F23" s="120"/>
      <c r="G23" s="176"/>
      <c r="H23" s="135"/>
      <c r="I23" s="177" t="s">
        <v>1191</v>
      </c>
    </row>
    <row r="24" spans="1:12" ht="14.25" customHeight="1">
      <c r="A24" s="1546"/>
      <c r="B24" s="72">
        <v>3</v>
      </c>
      <c r="C24" s="32"/>
      <c r="D24" s="73">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20"/>
      <c r="G24" s="120" t="s">
        <v>443</v>
      </c>
      <c r="H24" s="135"/>
      <c r="I24" s="178" t="s">
        <v>944</v>
      </c>
    </row>
    <row r="25" spans="1:12" ht="46.5" customHeight="1">
      <c r="A25" s="1546"/>
      <c r="C25" s="32"/>
      <c r="D25" s="73">
        <v>3</v>
      </c>
      <c r="E25" s="162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6272"/>
      <c r="G25" s="16272"/>
      <c r="H25" s="16272"/>
      <c r="I25" s="175"/>
    </row>
    <row r="26" spans="1:12" ht="14.25" customHeight="1">
      <c r="A26" s="1546"/>
      <c r="C26" s="32"/>
      <c r="D26" s="73" t="s">
        <v>461</v>
      </c>
      <c r="E26" s="121"/>
      <c r="F26" s="120"/>
      <c r="G26" s="120" t="s">
        <v>443</v>
      </c>
      <c r="H26" s="135"/>
      <c r="I26" s="16032" t="s">
        <v>1192</v>
      </c>
    </row>
    <row r="27" spans="1:12" ht="15" customHeight="1">
      <c r="A27" s="1546" t="s">
        <v>147</v>
      </c>
      <c r="C27" s="32"/>
      <c r="D27" s="42"/>
      <c r="E27" s="125" t="s">
        <v>459</v>
      </c>
      <c r="F27" s="126"/>
      <c r="G27" s="126"/>
      <c r="H27" s="123"/>
      <c r="I27" s="16034"/>
    </row>
    <row r="28" spans="1:12" ht="38.25" customHeight="1">
      <c r="A28" s="1546"/>
      <c r="B28" s="72">
        <v>3</v>
      </c>
      <c r="C28" s="32"/>
      <c r="D28" s="73">
        <v>4</v>
      </c>
      <c r="E28" s="162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16272"/>
      <c r="G28" s="16272"/>
      <c r="H28" s="16272"/>
      <c r="I28" s="175"/>
    </row>
    <row r="29" spans="1:12" ht="20.25" customHeight="1">
      <c r="A29" s="1546"/>
      <c r="C29" s="32"/>
      <c r="D29" s="73" t="s">
        <v>805</v>
      </c>
      <c r="E29" s="127" t="s">
        <v>1182</v>
      </c>
      <c r="F29" s="120"/>
      <c r="G29" s="176"/>
      <c r="H29" s="120" t="s">
        <v>443</v>
      </c>
      <c r="I29" s="16032" t="s">
        <v>1193</v>
      </c>
    </row>
    <row r="30" spans="1:12" ht="15" customHeight="1">
      <c r="A30" s="1546" t="s">
        <v>102</v>
      </c>
      <c r="C30" s="32"/>
      <c r="D30" s="42"/>
      <c r="E30" s="125" t="s">
        <v>459</v>
      </c>
      <c r="F30" s="126"/>
      <c r="G30" s="126"/>
      <c r="H30" s="123"/>
      <c r="I30" s="16034"/>
    </row>
    <row r="31" spans="1:12" ht="30" customHeight="1">
      <c r="A31" s="1546"/>
      <c r="B31" s="72">
        <v>3</v>
      </c>
      <c r="C31" s="32"/>
      <c r="D31" s="73">
        <v>5</v>
      </c>
      <c r="E31" s="162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16272"/>
      <c r="G31" s="16272"/>
      <c r="H31" s="16272"/>
      <c r="I31" s="175"/>
    </row>
    <row r="32" spans="1:12" ht="26.25" customHeight="1">
      <c r="A32" s="1546"/>
      <c r="C32" s="32"/>
      <c r="D32" s="73" t="s">
        <v>450</v>
      </c>
      <c r="E32" s="162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16229"/>
      <c r="G32" s="16229"/>
      <c r="H32" s="16229"/>
      <c r="I32" s="175"/>
    </row>
    <row r="33" spans="1:12" ht="14.25" customHeight="1">
      <c r="A33" s="1546"/>
      <c r="C33" s="32"/>
      <c r="D33" s="73" t="s">
        <v>1194</v>
      </c>
      <c r="E33" s="128" t="s">
        <v>1183</v>
      </c>
      <c r="F33" s="120"/>
      <c r="G33" s="176"/>
      <c r="H33" s="120" t="s">
        <v>443</v>
      </c>
      <c r="I33" s="16032" t="s">
        <v>1195</v>
      </c>
    </row>
    <row r="34" spans="1:12" ht="15" customHeight="1">
      <c r="A34" s="1546" t="s">
        <v>89</v>
      </c>
      <c r="C34" s="32"/>
      <c r="D34" s="42"/>
      <c r="E34" s="126" t="s">
        <v>459</v>
      </c>
      <c r="F34" s="122"/>
      <c r="G34" s="122"/>
      <c r="H34" s="123"/>
      <c r="I34" s="16034"/>
    </row>
    <row r="35" spans="1:12" ht="24" customHeight="1">
      <c r="A35" s="1546"/>
      <c r="C35" s="32"/>
      <c r="D35" s="73" t="s">
        <v>934</v>
      </c>
      <c r="E35" s="162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16229"/>
      <c r="G35" s="16229"/>
      <c r="H35" s="16229"/>
      <c r="I35" s="175"/>
    </row>
    <row r="36" spans="1:12" ht="14.25" customHeight="1">
      <c r="A36" s="1546"/>
      <c r="C36" s="32"/>
      <c r="D36" s="73" t="s">
        <v>1196</v>
      </c>
      <c r="E36" s="128" t="s">
        <v>1184</v>
      </c>
      <c r="F36" s="120"/>
      <c r="G36" s="176"/>
      <c r="H36" s="120" t="s">
        <v>443</v>
      </c>
      <c r="I36" s="16008" t="s">
        <v>1197</v>
      </c>
    </row>
    <row r="37" spans="1:12" ht="15" customHeight="1">
      <c r="A37" s="1546" t="s">
        <v>90</v>
      </c>
      <c r="C37" s="32"/>
      <c r="D37" s="42"/>
      <c r="E37" s="126" t="s">
        <v>459</v>
      </c>
      <c r="F37" s="122"/>
      <c r="G37" s="122"/>
      <c r="H37" s="123"/>
      <c r="I37" s="16008"/>
    </row>
    <row r="38" spans="1:12" ht="26.25" customHeight="1">
      <c r="A38" s="1546"/>
      <c r="C38" s="32"/>
      <c r="D38" s="73" t="s">
        <v>935</v>
      </c>
      <c r="E38" s="162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16229"/>
      <c r="G38" s="16229"/>
      <c r="H38" s="16229"/>
      <c r="I38" s="175"/>
    </row>
    <row r="39" spans="1:12" ht="14.25" customHeight="1">
      <c r="A39" s="1546"/>
      <c r="C39" s="32"/>
      <c r="D39" s="73" t="s">
        <v>936</v>
      </c>
      <c r="E39" s="128" t="s">
        <v>1185</v>
      </c>
      <c r="F39" s="120"/>
      <c r="G39" s="129"/>
      <c r="H39" s="120" t="s">
        <v>443</v>
      </c>
      <c r="I39" s="16032" t="s">
        <v>1198</v>
      </c>
      <c r="L39" s="79" t="s">
        <v>1186</v>
      </c>
    </row>
    <row r="40" spans="1:12" ht="15" customHeight="1">
      <c r="A40" s="1546" t="s">
        <v>117</v>
      </c>
      <c r="C40" s="32"/>
      <c r="D40" s="42"/>
      <c r="E40" s="126" t="s">
        <v>459</v>
      </c>
      <c r="F40" s="122"/>
      <c r="G40" s="122"/>
      <c r="H40" s="123"/>
      <c r="I40" s="16034"/>
    </row>
    <row r="41" spans="1:12" s="15890" customFormat="1" ht="3" customHeight="1">
      <c r="A41" s="1546"/>
      <c r="K41" s="118"/>
      <c r="L41" s="118"/>
    </row>
    <row r="42" spans="1:12" ht="24.75" customHeight="1">
      <c r="D42" s="1544" t="s">
        <v>856</v>
      </c>
      <c r="E42" s="1614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16144"/>
      <c r="G42" s="16144"/>
      <c r="H42" s="16144"/>
      <c r="I42" s="1614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36"/>
  <sheetViews>
    <sheetView showGridLines="0" topLeftCell="D13" zoomScale="90" workbookViewId="0">
      <selection activeCell="A317" sqref="A317:AG318"/>
    </sheetView>
  </sheetViews>
  <sheetFormatPr defaultColWidth="10.5703125" defaultRowHeight="14.25" customHeight="1"/>
  <cols>
    <col min="1" max="2" width="25.140625" style="15894" hidden="1" customWidth="1"/>
    <col min="3" max="3" width="9.140625" style="15895" hidden="1" customWidth="1"/>
    <col min="4" max="4" width="3.7109375" style="14425" customWidth="1"/>
    <col min="5" max="5" width="6.28515625" style="15896" customWidth="1"/>
    <col min="6" max="6" width="46.7109375" style="15896" customWidth="1"/>
    <col min="7" max="7" width="35.7109375" style="15896" customWidth="1"/>
    <col min="8" max="8" width="3.7109375" style="15896" customWidth="1"/>
    <col min="9" max="10" width="11.7109375" style="15896" customWidth="1"/>
    <col min="11" max="12" width="35.7109375" style="15896" customWidth="1"/>
    <col min="13" max="13" width="84.85546875" style="15896" customWidth="1"/>
    <col min="14" max="14" width="10.5703125" style="15896"/>
    <col min="15" max="16" width="10.5703125" style="15897"/>
    <col min="17" max="33" width="10.5703125" style="15896"/>
  </cols>
  <sheetData>
    <row r="1" spans="1:33" s="14433" customFormat="1" ht="14.25" hidden="1" customHeight="1">
      <c r="A1" s="1641"/>
      <c r="B1" s="1641"/>
      <c r="C1" s="284"/>
      <c r="D1" s="260"/>
      <c r="N1" s="1499">
        <f>IFERROR(MATCH("метод экономически обоснованных расходов (затрат)",OFFER_METHOD,0),0)</f>
        <v>0</v>
      </c>
      <c r="O1" s="1487"/>
      <c r="P1" s="1487"/>
      <c r="T1" s="729"/>
      <c r="AG1" s="174"/>
    </row>
    <row r="2" spans="1:33" s="14433" customFormat="1" ht="18.75" hidden="1" customHeight="1">
      <c r="A2" s="1642" t="s">
        <v>186</v>
      </c>
      <c r="B2" s="1642" t="s">
        <v>187</v>
      </c>
      <c r="C2" s="284"/>
      <c r="D2" s="260"/>
      <c r="E2" s="919"/>
      <c r="F2" s="919"/>
      <c r="G2" s="16245" t="str">
        <f>INDEX(PT_DIFFERENTIATION_NTAR,MATCH(B2,PT_DIFFERENTIATION_NTAR_ID,0))</f>
        <v/>
      </c>
      <c r="H2" s="1725"/>
      <c r="I2" s="1601"/>
      <c r="J2" s="1635"/>
      <c r="K2" s="1726"/>
      <c r="L2" s="1725" t="s">
        <v>443</v>
      </c>
      <c r="M2" s="1735"/>
      <c r="N2" s="251"/>
      <c r="O2" s="1487"/>
      <c r="P2" s="1487"/>
    </row>
    <row r="3" spans="1:33" s="14433" customFormat="1" ht="18.75" hidden="1" customHeight="1">
      <c r="A3" s="1642"/>
      <c r="B3" s="1642"/>
      <c r="C3" s="284" t="s">
        <v>1199</v>
      </c>
      <c r="D3" s="260"/>
      <c r="E3" s="919"/>
      <c r="F3" s="919"/>
      <c r="G3" s="16245"/>
      <c r="H3" s="1371"/>
      <c r="I3" s="553" t="s">
        <v>1200</v>
      </c>
      <c r="J3" s="477"/>
      <c r="K3" s="1371"/>
      <c r="L3" s="136"/>
      <c r="M3" s="1735"/>
      <c r="N3" s="251"/>
      <c r="O3" s="1487"/>
      <c r="P3" s="1487"/>
    </row>
    <row r="4" spans="1:33" s="14433" customFormat="1" ht="14.25" hidden="1" customHeight="1">
      <c r="A4" s="1641"/>
      <c r="B4" s="1641"/>
      <c r="C4" s="284"/>
      <c r="D4" s="260"/>
      <c r="N4" s="1499">
        <f>IFERROR(MATCH("метод экономически обоснованных расходов (затрат)",OFFER_METHOD,0),0)</f>
        <v>0</v>
      </c>
      <c r="O4" s="1487"/>
      <c r="P4" s="1487"/>
      <c r="T4" s="729"/>
      <c r="AG4" s="174"/>
    </row>
    <row r="5" spans="1:33" s="14433" customFormat="1" ht="18.75" hidden="1" customHeight="1">
      <c r="A5" s="1642" t="s">
        <v>186</v>
      </c>
      <c r="B5" s="1642" t="s">
        <v>187</v>
      </c>
      <c r="C5" s="284"/>
      <c r="D5" s="260"/>
      <c r="E5" s="919"/>
      <c r="F5" s="919"/>
      <c r="G5" s="16245" t="str">
        <f>INDEX(PT_DIFFERENTIATION_NTAR,MATCH(B5,PT_DIFFERENTIATION_NTAR_ID,0))</f>
        <v/>
      </c>
      <c r="H5" s="1725"/>
      <c r="I5" s="1601"/>
      <c r="J5" s="1635"/>
      <c r="K5" s="1640"/>
      <c r="L5" s="1725" t="s">
        <v>443</v>
      </c>
      <c r="M5" s="1735"/>
      <c r="N5" s="251"/>
      <c r="O5" s="1487"/>
      <c r="P5" s="1487"/>
    </row>
    <row r="6" spans="1:33" s="14433" customFormat="1" ht="18.75" hidden="1" customHeight="1">
      <c r="A6" s="1642"/>
      <c r="B6" s="1642"/>
      <c r="C6" s="284" t="s">
        <v>1201</v>
      </c>
      <c r="D6" s="260"/>
      <c r="E6" s="919"/>
      <c r="F6" s="919"/>
      <c r="G6" s="16245"/>
      <c r="H6" s="1371"/>
      <c r="I6" s="553" t="s">
        <v>1200</v>
      </c>
      <c r="J6" s="477"/>
      <c r="K6" s="1371"/>
      <c r="L6" s="136"/>
      <c r="M6" s="1735"/>
      <c r="N6" s="251"/>
      <c r="O6" s="1487"/>
      <c r="P6" s="1487"/>
    </row>
    <row r="7" spans="1:33" s="14433" customFormat="1" ht="14.25" hidden="1" customHeight="1">
      <c r="A7" s="1641"/>
      <c r="B7" s="1641"/>
      <c r="C7" s="284"/>
      <c r="D7" s="260"/>
      <c r="N7" s="1499">
        <f>IFERROR(MATCH("метод экономически обоснованных расходов (затрат)",OFFER_METHOD,0),0)</f>
        <v>0</v>
      </c>
      <c r="O7" s="1487"/>
      <c r="P7" s="1487"/>
      <c r="T7" s="729"/>
      <c r="AG7" s="174"/>
    </row>
    <row r="8" spans="1:33" s="14433" customFormat="1" ht="56.25" hidden="1" customHeight="1">
      <c r="A8" s="1642"/>
      <c r="B8" s="1642"/>
      <c r="C8" s="284"/>
      <c r="D8" s="260"/>
      <c r="E8" s="919"/>
      <c r="F8" s="919"/>
      <c r="G8" s="919"/>
      <c r="H8" s="1633"/>
      <c r="I8" s="1601"/>
      <c r="J8" s="1635"/>
      <c r="K8" s="1726"/>
      <c r="L8" s="1633" t="s">
        <v>443</v>
      </c>
      <c r="M8" s="1735"/>
      <c r="N8" s="251"/>
      <c r="O8" s="1487"/>
      <c r="P8" s="1487"/>
    </row>
    <row r="9" spans="1:33" ht="14.25" hidden="1" customHeight="1">
      <c r="T9" s="312"/>
      <c r="AG9" s="174"/>
    </row>
    <row r="10" spans="1:33" s="14433" customFormat="1" ht="56.25" hidden="1" customHeight="1">
      <c r="A10" s="1642"/>
      <c r="B10" s="1642"/>
      <c r="C10" s="284"/>
      <c r="D10" s="260"/>
      <c r="E10" s="919"/>
      <c r="F10" s="919"/>
      <c r="G10" s="919"/>
      <c r="H10" s="1632"/>
      <c r="I10" s="1601"/>
      <c r="J10" s="1635"/>
      <c r="K10" s="1640"/>
      <c r="L10" s="1633" t="s">
        <v>443</v>
      </c>
      <c r="M10" s="1735"/>
      <c r="N10" s="251"/>
      <c r="O10" s="1487"/>
      <c r="P10" s="1487"/>
    </row>
    <row r="11" spans="1:33" ht="14.25" hidden="1" customHeight="1"/>
    <row r="12" spans="1:33" ht="14.25" hidden="1" customHeight="1"/>
    <row r="13" spans="1:33" ht="6" customHeight="1">
      <c r="D13" s="291"/>
      <c r="E13" s="279"/>
      <c r="F13" s="279"/>
      <c r="G13" s="279"/>
      <c r="H13" s="279"/>
      <c r="I13" s="279"/>
      <c r="J13" s="279"/>
      <c r="K13" s="279"/>
      <c r="L13" s="21"/>
      <c r="M13" s="21"/>
    </row>
    <row r="14" spans="1:33" ht="14.25" customHeight="1">
      <c r="D14" s="291"/>
      <c r="E14" s="162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16278"/>
      <c r="G14" s="16278"/>
      <c r="H14" s="16278"/>
      <c r="I14" s="16278"/>
      <c r="J14" s="16278"/>
      <c r="K14" s="16278"/>
      <c r="L14" s="16278"/>
      <c r="M14" s="141"/>
    </row>
    <row r="15" spans="1:33" ht="6" customHeight="1">
      <c r="D15" s="291"/>
      <c r="E15" s="279"/>
      <c r="F15" s="304"/>
      <c r="G15" s="304"/>
      <c r="H15" s="304"/>
      <c r="I15" s="304"/>
      <c r="J15" s="304"/>
      <c r="K15" s="304"/>
      <c r="L15" s="239"/>
      <c r="M15" s="115"/>
    </row>
    <row r="16" spans="1:33" ht="18.75" customHeight="1">
      <c r="D16" s="291"/>
      <c r="E16" s="279"/>
      <c r="F16" s="222" t="str">
        <f>"Дата подачи заявления об "&amp;IF(TITLE_DATE_PR_CHANGE="","утверждении","изменении")&amp;" тарифов"</f>
        <v>Дата подачи заявления об изменении тарифов</v>
      </c>
      <c r="G16" s="16126">
        <f>IF(TITLE_DATE_PR_CHANGE="",IF(TITLE_DATE_PR="","",TITLE_DATE_PR),TITLE_DATE_PR_CHANGE)</f>
        <v>45379</v>
      </c>
      <c r="H16" s="16126"/>
      <c r="I16" s="16126"/>
      <c r="J16" s="16126"/>
      <c r="K16" s="16126"/>
      <c r="L16" s="16126"/>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изменении тарифов</v>
      </c>
      <c r="G17" s="16117" t="str">
        <f>IF(TITLE_NUMBER_PR_CHANGE="",IF(TITLE_NUMBER_PR="","",TITLE_NUMBER_PR),TITLE_NUMBER_PR_CHANGE)</f>
        <v>8/6</v>
      </c>
      <c r="H17" s="16117"/>
      <c r="I17" s="16117"/>
      <c r="J17" s="16117"/>
      <c r="K17" s="16117"/>
      <c r="L17" s="16117"/>
      <c r="M17" s="313"/>
      <c r="N17" s="243"/>
    </row>
    <row r="18" spans="1:16" ht="14.25" customHeight="1">
      <c r="D18" s="291"/>
      <c r="E18" s="279"/>
      <c r="F18" s="304"/>
      <c r="G18" s="304"/>
      <c r="H18" s="304"/>
      <c r="I18" s="304"/>
      <c r="J18" s="304"/>
      <c r="K18" s="304"/>
      <c r="L18" s="650"/>
      <c r="M18" s="115"/>
    </row>
    <row r="19" spans="1:16" ht="21" customHeight="1">
      <c r="D19" s="291"/>
      <c r="E19" s="16084" t="s">
        <v>437</v>
      </c>
      <c r="F19" s="16084"/>
      <c r="G19" s="16084"/>
      <c r="H19" s="16084"/>
      <c r="I19" s="16084"/>
      <c r="J19" s="16084"/>
      <c r="K19" s="16084"/>
      <c r="L19" s="16084"/>
      <c r="M19" s="16271" t="s">
        <v>438</v>
      </c>
    </row>
    <row r="20" spans="1:16" ht="21" customHeight="1">
      <c r="D20" s="291"/>
      <c r="E20" s="16136" t="s">
        <v>87</v>
      </c>
      <c r="F20" s="16097" t="s">
        <v>157</v>
      </c>
      <c r="G20" s="16097" t="s">
        <v>158</v>
      </c>
      <c r="H20" s="16250" t="s">
        <v>1202</v>
      </c>
      <c r="I20" s="16251"/>
      <c r="J20" s="16252"/>
      <c r="K20" s="16097" t="s">
        <v>440</v>
      </c>
      <c r="L20" s="16097" t="s">
        <v>527</v>
      </c>
      <c r="M20" s="16271"/>
    </row>
    <row r="21" spans="1:16" ht="21" customHeight="1">
      <c r="D21" s="291"/>
      <c r="E21" s="16138"/>
      <c r="F21" s="16098"/>
      <c r="G21" s="16098"/>
      <c r="H21" s="16092" t="s">
        <v>1203</v>
      </c>
      <c r="I21" s="16094"/>
      <c r="J21" s="41" t="s">
        <v>1204</v>
      </c>
      <c r="K21" s="16098"/>
      <c r="L21" s="16098"/>
      <c r="M21" s="16271"/>
    </row>
    <row r="22" spans="1:16" ht="12" customHeight="1">
      <c r="D22" s="291"/>
      <c r="E22" s="199"/>
      <c r="F22" s="199"/>
      <c r="G22" s="199"/>
      <c r="H22" s="16280"/>
      <c r="I22" s="16280"/>
      <c r="J22" s="199"/>
      <c r="K22" s="199"/>
      <c r="L22" s="199"/>
      <c r="M22" s="199"/>
    </row>
    <row r="23" spans="1:16" ht="18.75" customHeight="1">
      <c r="A23" s="1642"/>
      <c r="B23" s="1642"/>
      <c r="D23" s="291"/>
      <c r="E23" s="1727" t="s">
        <v>147</v>
      </c>
      <c r="F23" s="16281" t="str">
        <f>"Предлагаемый метод регулирования"&amp;IF(TEMPLATE_SPHERE="HEAT"," в сфере "&amp;TEMPLATE_SPHERE_RUS,"")</f>
        <v>Предлагаемый метод регулирования</v>
      </c>
      <c r="G23" s="16281"/>
      <c r="H23" s="16272"/>
      <c r="I23" s="16272"/>
      <c r="J23" s="16272"/>
      <c r="K23" s="16281" t="s">
        <v>443</v>
      </c>
      <c r="L23" s="16272"/>
      <c r="M23" s="1631"/>
      <c r="N23" s="251"/>
    </row>
    <row r="24" spans="1:16" ht="60.75" hidden="1" customHeight="1">
      <c r="A24" s="1642" t="s">
        <v>186</v>
      </c>
      <c r="B24" s="1642" t="s">
        <v>187</v>
      </c>
      <c r="D24" s="16279"/>
      <c r="E24" s="16079"/>
      <c r="F24" s="162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6245" t="str">
        <f>INDEX(PT_DIFFERENTIATION_NTAR,MATCH(B24,PT_DIFFERENTIATION_NTAR_ID,0))</f>
        <v/>
      </c>
      <c r="H24" s="1723"/>
      <c r="I24" s="1601"/>
      <c r="J24" s="1635"/>
      <c r="K24" s="1726"/>
      <c r="L24" s="1630" t="s">
        <v>443</v>
      </c>
      <c r="M24" s="16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4433" customFormat="1" ht="18.75" hidden="1" customHeight="1">
      <c r="A25" s="1642"/>
      <c r="B25" s="1642"/>
      <c r="C25" s="284" t="s">
        <v>1199</v>
      </c>
      <c r="D25" s="16279"/>
      <c r="E25" s="16079"/>
      <c r="F25" s="16282"/>
      <c r="G25" s="16245"/>
      <c r="H25" s="1371"/>
      <c r="I25" s="553" t="s">
        <v>1200</v>
      </c>
      <c r="J25" s="477"/>
      <c r="K25" s="1371"/>
      <c r="L25" s="136"/>
      <c r="M25" s="16033"/>
      <c r="N25" s="251"/>
      <c r="O25" s="1487"/>
      <c r="P25" s="1487"/>
    </row>
    <row r="26" spans="1:16" ht="0.75" hidden="1" customHeight="1">
      <c r="A26" s="1642"/>
      <c r="B26" s="1642"/>
      <c r="C26" s="284" t="s">
        <v>1205</v>
      </c>
      <c r="D26" s="16279"/>
      <c r="E26" s="16079"/>
      <c r="F26" s="16217"/>
      <c r="G26" s="315"/>
      <c r="H26" s="1371"/>
      <c r="I26" s="310"/>
      <c r="J26" s="265"/>
      <c r="K26" s="1371"/>
      <c r="L26" s="123"/>
      <c r="M26" s="16033"/>
      <c r="N26" s="251"/>
    </row>
    <row r="27" spans="1:16" s="14433" customFormat="1" ht="45" hidden="1" customHeight="1">
      <c r="A27" s="1642" t="s">
        <v>192</v>
      </c>
      <c r="B27" s="1642" t="s">
        <v>193</v>
      </c>
      <c r="C27" s="284"/>
      <c r="D27" s="16273"/>
      <c r="E27" s="16276"/>
      <c r="F27" s="162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6245" t="str">
        <f>INDEX(PT_DIFFERENTIATION_NTAR,MATCH(B27,PT_DIFFERENTIATION_NTAR_ID,0))</f>
        <v/>
      </c>
      <c r="H27" s="1723"/>
      <c r="I27" s="1601"/>
      <c r="J27" s="1635"/>
      <c r="K27" s="1726"/>
      <c r="L27" s="1723" t="s">
        <v>443</v>
      </c>
      <c r="M27" s="16033"/>
      <c r="N27" s="251"/>
      <c r="O27" s="1487"/>
      <c r="P27" s="1487"/>
    </row>
    <row r="28" spans="1:16" s="14433" customFormat="1" ht="18.75" hidden="1" customHeight="1">
      <c r="A28" s="1642"/>
      <c r="B28" s="1642"/>
      <c r="C28" s="284" t="s">
        <v>1199</v>
      </c>
      <c r="D28" s="16273"/>
      <c r="E28" s="16276"/>
      <c r="F28" s="16277"/>
      <c r="G28" s="16245"/>
      <c r="H28" s="1371"/>
      <c r="I28" s="553" t="s">
        <v>1200</v>
      </c>
      <c r="J28" s="477"/>
      <c r="K28" s="1371"/>
      <c r="L28" s="136"/>
      <c r="M28" s="16033"/>
      <c r="N28" s="251"/>
      <c r="O28" s="1487"/>
      <c r="P28" s="1487"/>
    </row>
    <row r="29" spans="1:16" s="14433" customFormat="1" ht="0.75" hidden="1" customHeight="1">
      <c r="A29" s="1642"/>
      <c r="B29" s="1642"/>
      <c r="C29" s="284" t="s">
        <v>1205</v>
      </c>
      <c r="D29" s="16273"/>
      <c r="E29" s="16079"/>
      <c r="F29" s="16217"/>
      <c r="G29" s="315"/>
      <c r="H29" s="1371"/>
      <c r="I29" s="553"/>
      <c r="J29" s="477"/>
      <c r="K29" s="1371"/>
      <c r="L29" s="136"/>
      <c r="M29" s="16033"/>
      <c r="N29" s="251"/>
      <c r="O29" s="1487"/>
      <c r="P29" s="1487"/>
    </row>
    <row r="30" spans="1:16" s="14433" customFormat="1" ht="45" hidden="1" customHeight="1">
      <c r="A30" s="1642" t="s">
        <v>198</v>
      </c>
      <c r="B30" s="1642" t="s">
        <v>199</v>
      </c>
      <c r="C30" s="284"/>
      <c r="D30" s="16273"/>
      <c r="E30" s="16079"/>
      <c r="F30" s="162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6245" t="str">
        <f>INDEX(PT_DIFFERENTIATION_NTAR,MATCH(B30,PT_DIFFERENTIATION_NTAR_ID,0))</f>
        <v/>
      </c>
      <c r="H30" s="1723"/>
      <c r="I30" s="1601"/>
      <c r="J30" s="1635"/>
      <c r="K30" s="1726"/>
      <c r="L30" s="1723" t="s">
        <v>443</v>
      </c>
      <c r="M30" s="16033"/>
      <c r="N30" s="251"/>
      <c r="O30" s="1487"/>
      <c r="P30" s="1487"/>
    </row>
    <row r="31" spans="1:16" s="14433" customFormat="1" ht="18.75" hidden="1" customHeight="1">
      <c r="A31" s="1642"/>
      <c r="B31" s="1642"/>
      <c r="C31" s="284" t="s">
        <v>1199</v>
      </c>
      <c r="D31" s="16273"/>
      <c r="E31" s="16079"/>
      <c r="F31" s="16217"/>
      <c r="G31" s="16245"/>
      <c r="H31" s="1371"/>
      <c r="I31" s="553" t="s">
        <v>1200</v>
      </c>
      <c r="J31" s="477"/>
      <c r="K31" s="1371"/>
      <c r="L31" s="136"/>
      <c r="M31" s="16033"/>
      <c r="N31" s="251"/>
      <c r="O31" s="1487"/>
      <c r="P31" s="1487"/>
    </row>
    <row r="32" spans="1:16" s="14433" customFormat="1" ht="0.75" hidden="1" customHeight="1">
      <c r="A32" s="1642"/>
      <c r="B32" s="1642"/>
      <c r="C32" s="284" t="s">
        <v>1205</v>
      </c>
      <c r="D32" s="16273"/>
      <c r="E32" s="16079"/>
      <c r="F32" s="16217"/>
      <c r="G32" s="315"/>
      <c r="H32" s="1371"/>
      <c r="I32" s="553"/>
      <c r="J32" s="477"/>
      <c r="K32" s="1371"/>
      <c r="L32" s="136"/>
      <c r="M32" s="16033"/>
      <c r="N32" s="251"/>
      <c r="O32" s="1487"/>
      <c r="P32" s="1487"/>
    </row>
    <row r="33" spans="1:16" s="14433" customFormat="1" ht="45" hidden="1" customHeight="1">
      <c r="A33" s="1642" t="s">
        <v>204</v>
      </c>
      <c r="B33" s="1642" t="s">
        <v>205</v>
      </c>
      <c r="C33" s="284"/>
      <c r="D33" s="16273"/>
      <c r="E33" s="16079"/>
      <c r="F33" s="162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6245" t="str">
        <f>INDEX(PT_DIFFERENTIATION_NTAR,MATCH(B33,PT_DIFFERENTIATION_NTAR_ID,0))</f>
        <v/>
      </c>
      <c r="H33" s="1723"/>
      <c r="I33" s="1601"/>
      <c r="J33" s="1635"/>
      <c r="K33" s="1726"/>
      <c r="L33" s="1723" t="s">
        <v>443</v>
      </c>
      <c r="M33" s="16033"/>
      <c r="N33" s="251"/>
      <c r="O33" s="1487"/>
      <c r="P33" s="1487"/>
    </row>
    <row r="34" spans="1:16" s="14433" customFormat="1" ht="18.75" hidden="1" customHeight="1">
      <c r="A34" s="1642"/>
      <c r="B34" s="1642"/>
      <c r="C34" s="284" t="s">
        <v>1199</v>
      </c>
      <c r="D34" s="16273"/>
      <c r="E34" s="16079"/>
      <c r="F34" s="16217"/>
      <c r="G34" s="16245"/>
      <c r="H34" s="1371"/>
      <c r="I34" s="553" t="s">
        <v>1200</v>
      </c>
      <c r="J34" s="477"/>
      <c r="K34" s="1371"/>
      <c r="L34" s="136"/>
      <c r="M34" s="16033"/>
      <c r="N34" s="251"/>
      <c r="O34" s="1487"/>
      <c r="P34" s="1487"/>
    </row>
    <row r="35" spans="1:16" s="14433" customFormat="1" ht="0.75" hidden="1" customHeight="1">
      <c r="A35" s="1642"/>
      <c r="B35" s="1642"/>
      <c r="C35" s="284" t="s">
        <v>1205</v>
      </c>
      <c r="D35" s="16273"/>
      <c r="E35" s="16079"/>
      <c r="F35" s="16217"/>
      <c r="G35" s="315"/>
      <c r="H35" s="1371"/>
      <c r="I35" s="553"/>
      <c r="J35" s="477"/>
      <c r="K35" s="1371"/>
      <c r="L35" s="136"/>
      <c r="M35" s="16033"/>
      <c r="N35" s="251"/>
      <c r="O35" s="1487"/>
      <c r="P35" s="1487"/>
    </row>
    <row r="36" spans="1:16" s="14433" customFormat="1" ht="18.75" hidden="1" customHeight="1">
      <c r="A36" s="1642" t="s">
        <v>210</v>
      </c>
      <c r="B36" s="1642" t="s">
        <v>211</v>
      </c>
      <c r="C36" s="284"/>
      <c r="D36" s="16273"/>
      <c r="E36" s="16079"/>
      <c r="F36" s="16217" t="str">
        <f>INDEX(PT_DIFFERENTIATION_VTAR,MATCH(A36,PT_DIFFERENTIATION_VTAR_ID,0))</f>
        <v>Тарифы на услуги по передаче тепловой энергии</v>
      </c>
      <c r="G36" s="16245" t="str">
        <f>INDEX(PT_DIFFERENTIATION_NTAR,MATCH(B36,PT_DIFFERENTIATION_NTAR_ID,0))</f>
        <v/>
      </c>
      <c r="H36" s="1723"/>
      <c r="I36" s="1601"/>
      <c r="J36" s="1635"/>
      <c r="K36" s="1726"/>
      <c r="L36" s="1723" t="s">
        <v>443</v>
      </c>
      <c r="M36" s="16033"/>
      <c r="N36" s="251"/>
      <c r="O36" s="1487"/>
      <c r="P36" s="1487"/>
    </row>
    <row r="37" spans="1:16" s="14433" customFormat="1" ht="18.75" hidden="1" customHeight="1">
      <c r="A37" s="1642"/>
      <c r="B37" s="1642"/>
      <c r="C37" s="284" t="s">
        <v>1199</v>
      </c>
      <c r="D37" s="16273"/>
      <c r="E37" s="16079"/>
      <c r="F37" s="16217"/>
      <c r="G37" s="16245"/>
      <c r="H37" s="1371"/>
      <c r="I37" s="553" t="s">
        <v>1200</v>
      </c>
      <c r="J37" s="477"/>
      <c r="K37" s="1371"/>
      <c r="L37" s="136"/>
      <c r="M37" s="16033"/>
      <c r="N37" s="251"/>
      <c r="O37" s="1487"/>
      <c r="P37" s="1487"/>
    </row>
    <row r="38" spans="1:16" s="14433" customFormat="1" ht="0.75" hidden="1" customHeight="1">
      <c r="A38" s="1642"/>
      <c r="B38" s="1642"/>
      <c r="C38" s="284" t="s">
        <v>1205</v>
      </c>
      <c r="D38" s="16273"/>
      <c r="E38" s="16079"/>
      <c r="F38" s="16217"/>
      <c r="G38" s="315"/>
      <c r="H38" s="1371"/>
      <c r="I38" s="553"/>
      <c r="J38" s="477"/>
      <c r="K38" s="1371"/>
      <c r="L38" s="136"/>
      <c r="M38" s="16033"/>
      <c r="N38" s="251"/>
      <c r="O38" s="1487"/>
      <c r="P38" s="1487"/>
    </row>
    <row r="39" spans="1:16" s="14433" customFormat="1" ht="18.75" hidden="1" customHeight="1">
      <c r="A39" s="1642" t="s">
        <v>216</v>
      </c>
      <c r="B39" s="1642" t="s">
        <v>217</v>
      </c>
      <c r="C39" s="284"/>
      <c r="D39" s="16273"/>
      <c r="E39" s="16079"/>
      <c r="F39" s="16217" t="str">
        <f>INDEX(PT_DIFFERENTIATION_VTAR,MATCH(A39,PT_DIFFERENTIATION_VTAR_ID,0))</f>
        <v>Тарифы на услуги по передаче теплоносителя</v>
      </c>
      <c r="G39" s="16245" t="str">
        <f>INDEX(PT_DIFFERENTIATION_NTAR,MATCH(B39,PT_DIFFERENTIATION_NTAR_ID,0))</f>
        <v/>
      </c>
      <c r="H39" s="1723"/>
      <c r="I39" s="1601"/>
      <c r="J39" s="1635"/>
      <c r="K39" s="1726"/>
      <c r="L39" s="1723" t="s">
        <v>443</v>
      </c>
      <c r="M39" s="16033"/>
      <c r="N39" s="251"/>
      <c r="O39" s="1487"/>
      <c r="P39" s="1487"/>
    </row>
    <row r="40" spans="1:16" s="14433" customFormat="1" ht="18.75" hidden="1" customHeight="1">
      <c r="A40" s="1642"/>
      <c r="B40" s="1642"/>
      <c r="C40" s="284" t="s">
        <v>1199</v>
      </c>
      <c r="D40" s="16273"/>
      <c r="E40" s="16079"/>
      <c r="F40" s="16217"/>
      <c r="G40" s="16245"/>
      <c r="H40" s="1371"/>
      <c r="I40" s="553" t="s">
        <v>1200</v>
      </c>
      <c r="J40" s="477"/>
      <c r="K40" s="1371"/>
      <c r="L40" s="136"/>
      <c r="M40" s="16033"/>
      <c r="N40" s="251"/>
      <c r="O40" s="1487"/>
      <c r="P40" s="1487"/>
    </row>
    <row r="41" spans="1:16" s="14433" customFormat="1" ht="0.75" hidden="1" customHeight="1">
      <c r="A41" s="1642"/>
      <c r="B41" s="1642"/>
      <c r="C41" s="284" t="s">
        <v>1205</v>
      </c>
      <c r="D41" s="16273"/>
      <c r="E41" s="16079"/>
      <c r="F41" s="16217"/>
      <c r="G41" s="315"/>
      <c r="H41" s="1371"/>
      <c r="I41" s="553"/>
      <c r="J41" s="477"/>
      <c r="K41" s="1371"/>
      <c r="L41" s="136"/>
      <c r="M41" s="16033"/>
      <c r="N41" s="251"/>
      <c r="O41" s="1487"/>
      <c r="P41" s="1487"/>
    </row>
    <row r="42" spans="1:16" s="14433" customFormat="1" ht="18.75" hidden="1" customHeight="1">
      <c r="A42" s="1642" t="s">
        <v>222</v>
      </c>
      <c r="B42" s="1642" t="s">
        <v>223</v>
      </c>
      <c r="C42" s="284"/>
      <c r="D42" s="16273"/>
      <c r="E42" s="16079"/>
      <c r="F42" s="16217" t="str">
        <f>INDEX(PT_DIFFERENTIATION_VTAR,MATCH(A42,PT_DIFFERENTIATION_VTAR_ID,0))</f>
        <v>Плата за услуги по поддержанию резервной тепловой мощности при отсутствии потребления тепловой энергии</v>
      </c>
      <c r="G42" s="16245" t="str">
        <f>INDEX(PT_DIFFERENTIATION_NTAR,MATCH(B42,PT_DIFFERENTIATION_NTAR_ID,0))</f>
        <v/>
      </c>
      <c r="H42" s="1723"/>
      <c r="I42" s="1601"/>
      <c r="J42" s="1635"/>
      <c r="K42" s="1726"/>
      <c r="L42" s="1723" t="s">
        <v>443</v>
      </c>
      <c r="M42" s="16033"/>
      <c r="N42" s="251"/>
      <c r="O42" s="1487"/>
      <c r="P42" s="1487"/>
    </row>
    <row r="43" spans="1:16" s="14433" customFormat="1" ht="18.75" hidden="1" customHeight="1">
      <c r="A43" s="1642"/>
      <c r="B43" s="1642"/>
      <c r="C43" s="284" t="s">
        <v>1199</v>
      </c>
      <c r="D43" s="16273"/>
      <c r="E43" s="16079"/>
      <c r="F43" s="16217"/>
      <c r="G43" s="16245"/>
      <c r="H43" s="1371"/>
      <c r="I43" s="553" t="s">
        <v>1200</v>
      </c>
      <c r="J43" s="477"/>
      <c r="K43" s="1371"/>
      <c r="L43" s="136"/>
      <c r="M43" s="16033"/>
      <c r="N43" s="251"/>
      <c r="O43" s="1487"/>
      <c r="P43" s="1487"/>
    </row>
    <row r="44" spans="1:16" s="14433" customFormat="1" ht="0.75" hidden="1" customHeight="1">
      <c r="A44" s="1642"/>
      <c r="B44" s="1642"/>
      <c r="C44" s="284" t="s">
        <v>1205</v>
      </c>
      <c r="D44" s="16273"/>
      <c r="E44" s="16079"/>
      <c r="F44" s="16217"/>
      <c r="G44" s="315"/>
      <c r="H44" s="1371"/>
      <c r="I44" s="553"/>
      <c r="J44" s="477"/>
      <c r="K44" s="1371"/>
      <c r="L44" s="136"/>
      <c r="M44" s="16033"/>
      <c r="N44" s="251"/>
      <c r="O44" s="1487"/>
      <c r="P44" s="1487"/>
    </row>
    <row r="45" spans="1:16" s="14433" customFormat="1" ht="18.75" hidden="1" customHeight="1">
      <c r="A45" s="1642" t="s">
        <v>228</v>
      </c>
      <c r="B45" s="1642" t="s">
        <v>229</v>
      </c>
      <c r="C45" s="284"/>
      <c r="D45" s="16273"/>
      <c r="E45" s="16079"/>
      <c r="F45" s="16217" t="str">
        <f>INDEX(PT_DIFFERENTIATION_VTAR,MATCH(A45,PT_DIFFERENTIATION_VTAR_ID,0))</f>
        <v>Плата за подключение (технологическое присоединение) к системе теплоснабжения</v>
      </c>
      <c r="G45" s="16245" t="str">
        <f>INDEX(PT_DIFFERENTIATION_NTAR,MATCH(B45,PT_DIFFERENTIATION_NTAR_ID,0))</f>
        <v/>
      </c>
      <c r="H45" s="1723"/>
      <c r="I45" s="1601"/>
      <c r="J45" s="1635"/>
      <c r="K45" s="1726"/>
      <c r="L45" s="1723" t="s">
        <v>443</v>
      </c>
      <c r="M45" s="16033"/>
      <c r="N45" s="251"/>
      <c r="O45" s="1487"/>
      <c r="P45" s="1487"/>
    </row>
    <row r="46" spans="1:16" s="14433" customFormat="1" ht="18.75" hidden="1" customHeight="1">
      <c r="A46" s="1642"/>
      <c r="B46" s="1642"/>
      <c r="C46" s="284" t="s">
        <v>1199</v>
      </c>
      <c r="D46" s="16273"/>
      <c r="E46" s="16079"/>
      <c r="F46" s="16217"/>
      <c r="G46" s="16245"/>
      <c r="H46" s="1371"/>
      <c r="I46" s="553" t="s">
        <v>1200</v>
      </c>
      <c r="J46" s="477"/>
      <c r="K46" s="1371"/>
      <c r="L46" s="136"/>
      <c r="M46" s="16033"/>
      <c r="N46" s="251"/>
      <c r="O46" s="1487"/>
      <c r="P46" s="1487"/>
    </row>
    <row r="47" spans="1:16" s="14433" customFormat="1" ht="0.75" hidden="1" customHeight="1">
      <c r="A47" s="1642"/>
      <c r="B47" s="1642"/>
      <c r="C47" s="284" t="s">
        <v>1205</v>
      </c>
      <c r="D47" s="16273"/>
      <c r="E47" s="16079"/>
      <c r="F47" s="16217"/>
      <c r="G47" s="315"/>
      <c r="H47" s="1371"/>
      <c r="I47" s="553"/>
      <c r="J47" s="477"/>
      <c r="K47" s="1371"/>
      <c r="L47" s="136"/>
      <c r="M47" s="16033"/>
      <c r="N47" s="251"/>
      <c r="O47" s="1487"/>
      <c r="P47" s="1487"/>
    </row>
    <row r="48" spans="1:16" s="14433" customFormat="1" ht="18.75" hidden="1" customHeight="1">
      <c r="A48" s="1642" t="s">
        <v>254</v>
      </c>
      <c r="B48" s="1642" t="s">
        <v>255</v>
      </c>
      <c r="C48" s="284"/>
      <c r="D48" s="16273"/>
      <c r="E48" s="16079"/>
      <c r="F48" s="16217" t="str">
        <f>INDEX(PT_DIFFERENTIATION_VTAR,MATCH(A48,PT_DIFFERENTIATION_VTAR_ID,0))</f>
        <v>Тариф на питьевую воду (питьевое водоснабжение)</v>
      </c>
      <c r="G48" s="16245" t="str">
        <f>INDEX(PT_DIFFERENTIATION_NTAR,MATCH(B48,PT_DIFFERENTIATION_NTAR_ID,0))</f>
        <v/>
      </c>
      <c r="H48" s="1723"/>
      <c r="I48" s="1601"/>
      <c r="J48" s="1635"/>
      <c r="K48" s="1726"/>
      <c r="L48" s="1723" t="s">
        <v>443</v>
      </c>
      <c r="M48" s="16033"/>
      <c r="N48" s="251"/>
      <c r="O48" s="1487"/>
      <c r="P48" s="1487"/>
    </row>
    <row r="49" spans="1:16" s="14433" customFormat="1" ht="18.75" hidden="1" customHeight="1">
      <c r="A49" s="1642"/>
      <c r="B49" s="1642"/>
      <c r="C49" s="284" t="s">
        <v>1199</v>
      </c>
      <c r="D49" s="16273"/>
      <c r="E49" s="16079"/>
      <c r="F49" s="16217"/>
      <c r="G49" s="16245"/>
      <c r="H49" s="1371"/>
      <c r="I49" s="553" t="s">
        <v>1200</v>
      </c>
      <c r="J49" s="477"/>
      <c r="K49" s="1371"/>
      <c r="L49" s="136"/>
      <c r="M49" s="16033"/>
      <c r="N49" s="251"/>
      <c r="O49" s="1487"/>
      <c r="P49" s="1487"/>
    </row>
    <row r="50" spans="1:16" s="14433" customFormat="1" ht="0.75" hidden="1" customHeight="1">
      <c r="A50" s="1642"/>
      <c r="B50" s="1642"/>
      <c r="C50" s="284" t="s">
        <v>1205</v>
      </c>
      <c r="D50" s="16273"/>
      <c r="E50" s="16079"/>
      <c r="F50" s="16217"/>
      <c r="G50" s="315"/>
      <c r="H50" s="1371"/>
      <c r="I50" s="553"/>
      <c r="J50" s="477"/>
      <c r="K50" s="1371"/>
      <c r="L50" s="136"/>
      <c r="M50" s="16033"/>
      <c r="N50" s="251"/>
      <c r="O50" s="1487"/>
      <c r="P50" s="1487"/>
    </row>
    <row r="51" spans="1:16" s="14433" customFormat="1" ht="18.75" hidden="1" customHeight="1">
      <c r="A51" s="1642" t="s">
        <v>259</v>
      </c>
      <c r="B51" s="1642" t="s">
        <v>260</v>
      </c>
      <c r="C51" s="284"/>
      <c r="D51" s="16273"/>
      <c r="E51" s="16079"/>
      <c r="F51" s="16217" t="str">
        <f>INDEX(PT_DIFFERENTIATION_VTAR,MATCH(A51,PT_DIFFERENTIATION_VTAR_ID,0))</f>
        <v>Тариф на техническую воду</v>
      </c>
      <c r="G51" s="16245" t="str">
        <f>INDEX(PT_DIFFERENTIATION_NTAR,MATCH(B51,PT_DIFFERENTIATION_NTAR_ID,0))</f>
        <v/>
      </c>
      <c r="H51" s="1723"/>
      <c r="I51" s="1601"/>
      <c r="J51" s="1635"/>
      <c r="K51" s="1726"/>
      <c r="L51" s="1723" t="s">
        <v>443</v>
      </c>
      <c r="M51" s="16033"/>
      <c r="N51" s="251"/>
      <c r="O51" s="1487"/>
      <c r="P51" s="1487"/>
    </row>
    <row r="52" spans="1:16" s="14433" customFormat="1" ht="18.75" hidden="1" customHeight="1">
      <c r="A52" s="1642"/>
      <c r="B52" s="1642"/>
      <c r="C52" s="284" t="s">
        <v>1199</v>
      </c>
      <c r="D52" s="16273"/>
      <c r="E52" s="16079"/>
      <c r="F52" s="16217"/>
      <c r="G52" s="16245"/>
      <c r="H52" s="1371"/>
      <c r="I52" s="553" t="s">
        <v>1200</v>
      </c>
      <c r="J52" s="477"/>
      <c r="K52" s="1371"/>
      <c r="L52" s="136"/>
      <c r="M52" s="16033"/>
      <c r="N52" s="251"/>
      <c r="O52" s="1487"/>
      <c r="P52" s="1487"/>
    </row>
    <row r="53" spans="1:16" s="14433" customFormat="1" ht="0.75" hidden="1" customHeight="1">
      <c r="A53" s="1642"/>
      <c r="B53" s="1642"/>
      <c r="C53" s="284" t="s">
        <v>1205</v>
      </c>
      <c r="D53" s="16273"/>
      <c r="E53" s="16079"/>
      <c r="F53" s="16217"/>
      <c r="G53" s="315"/>
      <c r="H53" s="1371"/>
      <c r="I53" s="553"/>
      <c r="J53" s="477"/>
      <c r="K53" s="1371"/>
      <c r="L53" s="136"/>
      <c r="M53" s="16033"/>
      <c r="N53" s="251"/>
      <c r="O53" s="1487"/>
      <c r="P53" s="1487"/>
    </row>
    <row r="54" spans="1:16" s="14433" customFormat="1" ht="18.75" hidden="1" customHeight="1">
      <c r="A54" s="1642" t="s">
        <v>264</v>
      </c>
      <c r="B54" s="1642" t="s">
        <v>265</v>
      </c>
      <c r="C54" s="284"/>
      <c r="D54" s="16273"/>
      <c r="E54" s="16079"/>
      <c r="F54" s="16217" t="str">
        <f>INDEX(PT_DIFFERENTIATION_VTAR,MATCH(A54,PT_DIFFERENTIATION_VTAR_ID,0))</f>
        <v>Тариф на транспортировку воды</v>
      </c>
      <c r="G54" s="16245" t="str">
        <f>INDEX(PT_DIFFERENTIATION_NTAR,MATCH(B54,PT_DIFFERENTIATION_NTAR_ID,0))</f>
        <v/>
      </c>
      <c r="H54" s="1723"/>
      <c r="I54" s="1601"/>
      <c r="J54" s="1635"/>
      <c r="K54" s="1726"/>
      <c r="L54" s="1723" t="s">
        <v>443</v>
      </c>
      <c r="M54" s="16033"/>
      <c r="N54" s="251"/>
      <c r="O54" s="1487"/>
      <c r="P54" s="1487"/>
    </row>
    <row r="55" spans="1:16" s="14433" customFormat="1" ht="18.75" hidden="1" customHeight="1">
      <c r="A55" s="1642"/>
      <c r="B55" s="1642"/>
      <c r="C55" s="284" t="s">
        <v>1199</v>
      </c>
      <c r="D55" s="16273"/>
      <c r="E55" s="16079"/>
      <c r="F55" s="16217"/>
      <c r="G55" s="16245"/>
      <c r="H55" s="1371"/>
      <c r="I55" s="553" t="s">
        <v>1200</v>
      </c>
      <c r="J55" s="477"/>
      <c r="K55" s="1371"/>
      <c r="L55" s="136"/>
      <c r="M55" s="16033"/>
      <c r="N55" s="251"/>
      <c r="O55" s="1487"/>
      <c r="P55" s="1487"/>
    </row>
    <row r="56" spans="1:16" s="14433" customFormat="1" ht="0.75" hidden="1" customHeight="1">
      <c r="A56" s="1642"/>
      <c r="B56" s="1642"/>
      <c r="C56" s="284" t="s">
        <v>1205</v>
      </c>
      <c r="D56" s="16273"/>
      <c r="E56" s="16079"/>
      <c r="F56" s="16217"/>
      <c r="G56" s="315"/>
      <c r="H56" s="1371"/>
      <c r="I56" s="553"/>
      <c r="J56" s="477"/>
      <c r="K56" s="1371"/>
      <c r="L56" s="136"/>
      <c r="M56" s="16033"/>
      <c r="N56" s="251"/>
      <c r="O56" s="1487"/>
      <c r="P56" s="1487"/>
    </row>
    <row r="57" spans="1:16" s="14433" customFormat="1" ht="18.75" hidden="1" customHeight="1">
      <c r="A57" s="1642" t="s">
        <v>269</v>
      </c>
      <c r="B57" s="1642" t="s">
        <v>270</v>
      </c>
      <c r="C57" s="284"/>
      <c r="D57" s="16273"/>
      <c r="E57" s="16079"/>
      <c r="F57" s="16217" t="str">
        <f>INDEX(PT_DIFFERENTIATION_VTAR,MATCH(A57,PT_DIFFERENTIATION_VTAR_ID,0))</f>
        <v>Тариф на подвоз воды</v>
      </c>
      <c r="G57" s="16245" t="str">
        <f>INDEX(PT_DIFFERENTIATION_NTAR,MATCH(B57,PT_DIFFERENTIATION_NTAR_ID,0))</f>
        <v/>
      </c>
      <c r="H57" s="1723"/>
      <c r="I57" s="1601"/>
      <c r="J57" s="1635"/>
      <c r="K57" s="1726"/>
      <c r="L57" s="1723" t="s">
        <v>443</v>
      </c>
      <c r="M57" s="16033"/>
      <c r="N57" s="251"/>
      <c r="O57" s="1487"/>
      <c r="P57" s="1487"/>
    </row>
    <row r="58" spans="1:16" s="14433" customFormat="1" ht="18.75" hidden="1" customHeight="1">
      <c r="A58" s="1642"/>
      <c r="B58" s="1642"/>
      <c r="C58" s="284" t="s">
        <v>1199</v>
      </c>
      <c r="D58" s="16273"/>
      <c r="E58" s="16079"/>
      <c r="F58" s="16217"/>
      <c r="G58" s="16245"/>
      <c r="H58" s="1371"/>
      <c r="I58" s="553" t="s">
        <v>1200</v>
      </c>
      <c r="J58" s="477"/>
      <c r="K58" s="1371"/>
      <c r="L58" s="136"/>
      <c r="M58" s="16033"/>
      <c r="N58" s="251"/>
      <c r="O58" s="1487"/>
      <c r="P58" s="1487"/>
    </row>
    <row r="59" spans="1:16" s="14433" customFormat="1" ht="0.75" hidden="1" customHeight="1">
      <c r="A59" s="1642"/>
      <c r="B59" s="1642"/>
      <c r="C59" s="284" t="s">
        <v>1205</v>
      </c>
      <c r="D59" s="16273"/>
      <c r="E59" s="16079"/>
      <c r="F59" s="16217"/>
      <c r="G59" s="315"/>
      <c r="H59" s="1371"/>
      <c r="I59" s="553"/>
      <c r="J59" s="477"/>
      <c r="K59" s="1371"/>
      <c r="L59" s="136"/>
      <c r="M59" s="16033"/>
      <c r="N59" s="251"/>
      <c r="O59" s="1487"/>
      <c r="P59" s="1487"/>
    </row>
    <row r="60" spans="1:16" s="14433" customFormat="1" ht="18.75" hidden="1" customHeight="1">
      <c r="A60" s="1642" t="s">
        <v>274</v>
      </c>
      <c r="B60" s="1642" t="s">
        <v>275</v>
      </c>
      <c r="C60" s="284"/>
      <c r="D60" s="16273"/>
      <c r="E60" s="16079"/>
      <c r="F60" s="16217" t="str">
        <f>INDEX(PT_DIFFERENTIATION_VTAR,MATCH(A60,PT_DIFFERENTIATION_VTAR_ID,0))</f>
        <v>Тариф на подключение (технологическое присоединение) к централизованной системе холодного водоснабжения</v>
      </c>
      <c r="G60" s="16245" t="str">
        <f>INDEX(PT_DIFFERENTIATION_NTAR,MATCH(B60,PT_DIFFERENTIATION_NTAR_ID,0))</f>
        <v/>
      </c>
      <c r="H60" s="1723"/>
      <c r="I60" s="1601"/>
      <c r="J60" s="1635"/>
      <c r="K60" s="1726"/>
      <c r="L60" s="1723" t="s">
        <v>443</v>
      </c>
      <c r="M60" s="16033"/>
      <c r="N60" s="251"/>
      <c r="O60" s="1487"/>
      <c r="P60" s="1487"/>
    </row>
    <row r="61" spans="1:16" s="14433" customFormat="1" ht="18.75" hidden="1" customHeight="1">
      <c r="A61" s="1642"/>
      <c r="B61" s="1642"/>
      <c r="C61" s="284" t="s">
        <v>1199</v>
      </c>
      <c r="D61" s="16273"/>
      <c r="E61" s="16079"/>
      <c r="F61" s="16217"/>
      <c r="G61" s="16245"/>
      <c r="H61" s="1371"/>
      <c r="I61" s="553" t="s">
        <v>1200</v>
      </c>
      <c r="J61" s="477"/>
      <c r="K61" s="1371"/>
      <c r="L61" s="136"/>
      <c r="M61" s="16033"/>
      <c r="N61" s="251"/>
      <c r="O61" s="1487"/>
      <c r="P61" s="1487"/>
    </row>
    <row r="62" spans="1:16" s="14433" customFormat="1" ht="0.75" hidden="1" customHeight="1">
      <c r="A62" s="1642"/>
      <c r="B62" s="1642"/>
      <c r="C62" s="284" t="s">
        <v>1205</v>
      </c>
      <c r="D62" s="16273"/>
      <c r="E62" s="16079"/>
      <c r="F62" s="16217"/>
      <c r="G62" s="315"/>
      <c r="H62" s="1371"/>
      <c r="I62" s="553"/>
      <c r="J62" s="477"/>
      <c r="K62" s="1371"/>
      <c r="L62" s="136"/>
      <c r="M62" s="16033"/>
      <c r="N62" s="251"/>
      <c r="O62" s="1487"/>
      <c r="P62" s="1487"/>
    </row>
    <row r="63" spans="1:16" s="14433" customFormat="1" ht="18.75" hidden="1" customHeight="1">
      <c r="A63" s="1642" t="s">
        <v>283</v>
      </c>
      <c r="B63" s="1642" t="s">
        <v>284</v>
      </c>
      <c r="C63" s="284"/>
      <c r="D63" s="16273"/>
      <c r="E63" s="16079"/>
      <c r="F63" s="16217" t="str">
        <f>INDEX(PT_DIFFERENTIATION_VTAR,MATCH(A63,PT_DIFFERENTIATION_VTAR_ID,0))</f>
        <v>Тариф на горячую воду (горячее водоснабжение)</v>
      </c>
      <c r="G63" s="16245" t="str">
        <f>INDEX(PT_DIFFERENTIATION_NTAR,MATCH(B63,PT_DIFFERENTIATION_NTAR_ID,0))</f>
        <v>Тариф на горячую воду в закрытой системе горячего водоснабжения, поставляемую группе потребителей "население"</v>
      </c>
      <c r="H63" s="1723"/>
      <c r="I63" s="1601"/>
      <c r="J63" s="1635"/>
      <c r="K63" s="1726"/>
      <c r="L63" s="1723" t="s">
        <v>443</v>
      </c>
      <c r="M63" s="16033"/>
      <c r="N63" s="251"/>
      <c r="O63" s="1487"/>
      <c r="P63" s="1487"/>
    </row>
    <row r="64" spans="1:16" s="14433" customFormat="1" ht="18.75" hidden="1" customHeight="1">
      <c r="A64" s="1642"/>
      <c r="B64" s="1642"/>
      <c r="C64" s="284" t="s">
        <v>1199</v>
      </c>
      <c r="D64" s="16273"/>
      <c r="E64" s="16079"/>
      <c r="F64" s="16217"/>
      <c r="G64" s="16245"/>
      <c r="H64" s="1371"/>
      <c r="I64" s="553" t="s">
        <v>1200</v>
      </c>
      <c r="J64" s="477"/>
      <c r="K64" s="1371"/>
      <c r="L64" s="136"/>
      <c r="M64" s="16033"/>
      <c r="N64" s="251"/>
      <c r="O64" s="1487"/>
      <c r="P64" s="1487"/>
    </row>
    <row r="65" spans="1:33" s="15891" customFormat="1" ht="18.75" customHeight="1">
      <c r="A65" s="2775" t="s">
        <v>283</v>
      </c>
      <c r="B65" s="2775" t="s">
        <v>329</v>
      </c>
      <c r="C65" s="10455"/>
      <c r="D65" s="16274"/>
      <c r="E65" s="16275"/>
      <c r="F65" s="16275"/>
      <c r="G65" s="16245" t="str">
        <f>INDEX(PT_DIFFERENTIATION_NTAR,MATCH(B65,PT_DIFFERENTIATION_NTAR_ID,0))</f>
        <v>Тариф на горячую воду в закрытой системе горячего водоснабжения, поставляемую потребителям</v>
      </c>
      <c r="H65" s="2202"/>
      <c r="I65" s="10456"/>
      <c r="J65" s="10457"/>
      <c r="K65" s="10458"/>
      <c r="L65" s="2202" t="s">
        <v>443</v>
      </c>
      <c r="M65" s="16159"/>
      <c r="N65" s="10460"/>
      <c r="O65" s="2512"/>
      <c r="P65" s="2512"/>
      <c r="Q65" s="1892"/>
      <c r="R65" s="1892"/>
      <c r="S65" s="1892"/>
      <c r="T65" s="1892"/>
      <c r="U65" s="1892"/>
      <c r="V65" s="1892"/>
      <c r="W65" s="1892"/>
      <c r="X65" s="1892"/>
      <c r="Y65" s="1892"/>
      <c r="Z65" s="1892"/>
      <c r="AA65" s="1892"/>
      <c r="AB65" s="1892"/>
      <c r="AC65" s="1892"/>
      <c r="AD65" s="1892"/>
      <c r="AE65" s="1892"/>
      <c r="AF65" s="1892"/>
      <c r="AG65" s="1892"/>
    </row>
    <row r="66" spans="1:33" s="15891" customFormat="1" ht="18.75" customHeight="1">
      <c r="A66" s="2775"/>
      <c r="B66" s="2775"/>
      <c r="C66" s="10455" t="s">
        <v>1199</v>
      </c>
      <c r="D66" s="16274"/>
      <c r="E66" s="16275"/>
      <c r="F66" s="16275"/>
      <c r="G66" s="16245"/>
      <c r="H66" s="10461"/>
      <c r="I66" s="10462" t="s">
        <v>1200</v>
      </c>
      <c r="J66" s="10463"/>
      <c r="K66" s="10464"/>
      <c r="L66" s="10465"/>
      <c r="M66" s="16159"/>
      <c r="N66" s="10460"/>
      <c r="O66" s="2512"/>
      <c r="P66" s="2512"/>
      <c r="Q66" s="1892"/>
      <c r="R66" s="1892"/>
      <c r="S66" s="1892"/>
      <c r="T66" s="1892"/>
      <c r="U66" s="1892"/>
      <c r="V66" s="1892"/>
      <c r="W66" s="1892"/>
      <c r="X66" s="1892"/>
      <c r="Y66" s="1892"/>
      <c r="Z66" s="1892"/>
      <c r="AA66" s="1892"/>
      <c r="AB66" s="1892"/>
      <c r="AC66" s="1892"/>
      <c r="AD66" s="1892"/>
      <c r="AE66" s="1892"/>
      <c r="AF66" s="1892"/>
      <c r="AG66" s="1892"/>
    </row>
    <row r="67" spans="1:33" s="15892" customFormat="1" ht="18.75" customHeight="1">
      <c r="A67" s="10494" t="s">
        <v>283</v>
      </c>
      <c r="B67" s="10494" t="s">
        <v>360</v>
      </c>
      <c r="C67" s="14302"/>
      <c r="D67" s="16274"/>
      <c r="E67" s="16275"/>
      <c r="F67" s="16275"/>
      <c r="G67" s="16245" t="str">
        <f>INDEX(PT_DIFFERENTIATION_NTAR,MATCH(B67,PT_DIFFERENTIATION_NTAR_ID,0))</f>
        <v>Тариф на горячую воду в закрытой системе горячего водоснабжения, поставляемую группе потребителей "потребители (кроме населения)"</v>
      </c>
      <c r="H67" s="14303"/>
      <c r="I67" s="14304"/>
      <c r="J67" s="14305"/>
      <c r="K67" s="14306"/>
      <c r="L67" s="14303" t="s">
        <v>443</v>
      </c>
      <c r="M67" s="16159"/>
      <c r="N67" s="14308"/>
      <c r="O67" s="10501"/>
      <c r="P67" s="10501"/>
      <c r="Q67" s="14309"/>
      <c r="R67" s="14309"/>
      <c r="S67" s="14309"/>
      <c r="T67" s="14309"/>
      <c r="U67" s="14309"/>
      <c r="V67" s="14309"/>
      <c r="W67" s="14309"/>
      <c r="X67" s="14309"/>
      <c r="Y67" s="14309"/>
      <c r="Z67" s="14309"/>
      <c r="AA67" s="14309"/>
      <c r="AB67" s="14309"/>
      <c r="AC67" s="14309"/>
      <c r="AD67" s="14309"/>
      <c r="AE67" s="14309"/>
      <c r="AF67" s="14309"/>
      <c r="AG67" s="14309"/>
    </row>
    <row r="68" spans="1:33" s="15893" customFormat="1" ht="18.75" customHeight="1">
      <c r="A68" s="10494"/>
      <c r="B68" s="10494"/>
      <c r="C68" s="14302" t="s">
        <v>1199</v>
      </c>
      <c r="D68" s="16274"/>
      <c r="E68" s="16275"/>
      <c r="F68" s="16275"/>
      <c r="G68" s="16245"/>
      <c r="H68" s="14310"/>
      <c r="I68" s="14311" t="s">
        <v>1200</v>
      </c>
      <c r="J68" s="14312"/>
      <c r="K68" s="14313"/>
      <c r="L68" s="14314"/>
      <c r="M68" s="16159"/>
      <c r="N68" s="14308"/>
      <c r="O68" s="10501"/>
      <c r="P68" s="10501"/>
      <c r="Q68" s="14309"/>
      <c r="R68" s="14309"/>
      <c r="S68" s="14309"/>
      <c r="T68" s="14309"/>
      <c r="U68" s="14309"/>
      <c r="V68" s="14309"/>
      <c r="W68" s="14309"/>
      <c r="X68" s="14309"/>
      <c r="Y68" s="14309"/>
      <c r="Z68" s="14309"/>
      <c r="AA68" s="14309"/>
      <c r="AB68" s="14309"/>
      <c r="AC68" s="14309"/>
      <c r="AD68" s="14309"/>
      <c r="AE68" s="14309"/>
      <c r="AF68" s="14309"/>
      <c r="AG68" s="14309"/>
    </row>
    <row r="69" spans="1:33" s="14433" customFormat="1" ht="0.75" hidden="1" customHeight="1">
      <c r="A69" s="1642"/>
      <c r="B69" s="1642"/>
      <c r="C69" s="284" t="s">
        <v>1205</v>
      </c>
      <c r="D69" s="16273"/>
      <c r="E69" s="16079"/>
      <c r="F69" s="16217"/>
      <c r="G69" s="315"/>
      <c r="H69" s="1371"/>
      <c r="I69" s="553"/>
      <c r="J69" s="477"/>
      <c r="K69" s="1371"/>
      <c r="L69" s="136"/>
      <c r="M69" s="16033"/>
      <c r="N69" s="251"/>
      <c r="O69" s="1487"/>
      <c r="P69" s="1487"/>
    </row>
    <row r="70" spans="1:33" s="14433" customFormat="1" ht="18.75" hidden="1" customHeight="1">
      <c r="A70" s="1642" t="s">
        <v>392</v>
      </c>
      <c r="B70" s="1642" t="s">
        <v>393</v>
      </c>
      <c r="C70" s="284"/>
      <c r="D70" s="16273"/>
      <c r="E70" s="16079"/>
      <c r="F70" s="16217" t="str">
        <f>INDEX(PT_DIFFERENTIATION_VTAR,MATCH(A70,PT_DIFFERENTIATION_VTAR_ID,0))</f>
        <v>Тариф на транспортировку горячей воды</v>
      </c>
      <c r="G70" s="16245" t="str">
        <f>INDEX(PT_DIFFERENTIATION_NTAR,MATCH(B70,PT_DIFFERENTIATION_NTAR_ID,0))</f>
        <v/>
      </c>
      <c r="H70" s="1723"/>
      <c r="I70" s="1601"/>
      <c r="J70" s="1635"/>
      <c r="K70" s="1726"/>
      <c r="L70" s="1723" t="s">
        <v>443</v>
      </c>
      <c r="M70" s="16033"/>
      <c r="N70" s="251"/>
      <c r="O70" s="1487"/>
      <c r="P70" s="1487"/>
    </row>
    <row r="71" spans="1:33" s="14433" customFormat="1" ht="18.75" hidden="1" customHeight="1">
      <c r="A71" s="1642"/>
      <c r="B71" s="1642"/>
      <c r="C71" s="284" t="s">
        <v>1199</v>
      </c>
      <c r="D71" s="16273"/>
      <c r="E71" s="16079"/>
      <c r="F71" s="16217"/>
      <c r="G71" s="16245"/>
      <c r="H71" s="1371"/>
      <c r="I71" s="553" t="s">
        <v>1200</v>
      </c>
      <c r="J71" s="477"/>
      <c r="K71" s="1371"/>
      <c r="L71" s="136"/>
      <c r="M71" s="16033"/>
      <c r="N71" s="251"/>
      <c r="O71" s="1487"/>
      <c r="P71" s="1487"/>
    </row>
    <row r="72" spans="1:33" s="14433" customFormat="1" ht="0.75" hidden="1" customHeight="1">
      <c r="A72" s="1642"/>
      <c r="B72" s="1642"/>
      <c r="C72" s="284" t="s">
        <v>1205</v>
      </c>
      <c r="D72" s="16273"/>
      <c r="E72" s="16079"/>
      <c r="F72" s="16217"/>
      <c r="G72" s="315"/>
      <c r="H72" s="1371"/>
      <c r="I72" s="553"/>
      <c r="J72" s="477"/>
      <c r="K72" s="1371"/>
      <c r="L72" s="136"/>
      <c r="M72" s="16033"/>
      <c r="N72" s="251"/>
      <c r="O72" s="1487"/>
      <c r="P72" s="1487"/>
    </row>
    <row r="73" spans="1:33" s="14433" customFormat="1" ht="18.75" hidden="1" customHeight="1">
      <c r="A73" s="1642" t="s">
        <v>397</v>
      </c>
      <c r="B73" s="1642" t="s">
        <v>398</v>
      </c>
      <c r="C73" s="284"/>
      <c r="D73" s="16273"/>
      <c r="E73" s="16079"/>
      <c r="F73" s="16217" t="str">
        <f>INDEX(PT_DIFFERENTIATION_VTAR,MATCH(A73,PT_DIFFERENTIATION_VTAR_ID,0))</f>
        <v>Тариф на подключение (технологическое присоединение) к централизованной системе горячего водоснабжения</v>
      </c>
      <c r="G73" s="16245" t="str">
        <f>INDEX(PT_DIFFERENTIATION_NTAR,MATCH(B73,PT_DIFFERENTIATION_NTAR_ID,0))</f>
        <v/>
      </c>
      <c r="H73" s="1723"/>
      <c r="I73" s="1601"/>
      <c r="J73" s="1635"/>
      <c r="K73" s="1726"/>
      <c r="L73" s="1723" t="s">
        <v>443</v>
      </c>
      <c r="M73" s="16033"/>
      <c r="N73" s="251"/>
      <c r="O73" s="1487"/>
      <c r="P73" s="1487"/>
    </row>
    <row r="74" spans="1:33" s="14433" customFormat="1" ht="18.75" hidden="1" customHeight="1">
      <c r="A74" s="1642"/>
      <c r="B74" s="1642"/>
      <c r="C74" s="284" t="s">
        <v>1199</v>
      </c>
      <c r="D74" s="16273"/>
      <c r="E74" s="16079"/>
      <c r="F74" s="16217"/>
      <c r="G74" s="16245"/>
      <c r="H74" s="1371"/>
      <c r="I74" s="553" t="s">
        <v>1200</v>
      </c>
      <c r="J74" s="477"/>
      <c r="K74" s="1371"/>
      <c r="L74" s="136"/>
      <c r="M74" s="16033"/>
      <c r="N74" s="251"/>
      <c r="O74" s="1487"/>
      <c r="P74" s="1487"/>
    </row>
    <row r="75" spans="1:33" s="14433" customFormat="1" ht="0.75" hidden="1" customHeight="1">
      <c r="A75" s="1642"/>
      <c r="B75" s="1642"/>
      <c r="C75" s="284" t="s">
        <v>1205</v>
      </c>
      <c r="D75" s="16273"/>
      <c r="E75" s="16079"/>
      <c r="F75" s="16217"/>
      <c r="G75" s="315"/>
      <c r="H75" s="1371"/>
      <c r="I75" s="553"/>
      <c r="J75" s="477"/>
      <c r="K75" s="1371"/>
      <c r="L75" s="136"/>
      <c r="M75" s="16033"/>
      <c r="N75" s="251"/>
      <c r="O75" s="1487"/>
      <c r="P75" s="1487"/>
    </row>
    <row r="76" spans="1:33" s="14433" customFormat="1" ht="18.75" hidden="1" customHeight="1">
      <c r="A76" s="1642" t="s">
        <v>402</v>
      </c>
      <c r="B76" s="1642" t="s">
        <v>403</v>
      </c>
      <c r="C76" s="284"/>
      <c r="D76" s="16273"/>
      <c r="E76" s="16079"/>
      <c r="F76" s="16217" t="str">
        <f>INDEX(PT_DIFFERENTIATION_VTAR,MATCH(A76,PT_DIFFERENTIATION_VTAR_ID,0))</f>
        <v>Тариф на водоотведение</v>
      </c>
      <c r="G76" s="16245" t="str">
        <f>INDEX(PT_DIFFERENTIATION_NTAR,MATCH(B76,PT_DIFFERENTIATION_NTAR_ID,0))</f>
        <v/>
      </c>
      <c r="H76" s="1723"/>
      <c r="I76" s="1601"/>
      <c r="J76" s="1635"/>
      <c r="K76" s="1726"/>
      <c r="L76" s="1723" t="s">
        <v>443</v>
      </c>
      <c r="M76" s="16033"/>
      <c r="N76" s="251"/>
      <c r="O76" s="1487"/>
      <c r="P76" s="1487"/>
    </row>
    <row r="77" spans="1:33" s="14433" customFormat="1" ht="18.75" hidden="1" customHeight="1">
      <c r="A77" s="1642"/>
      <c r="B77" s="1642"/>
      <c r="C77" s="284" t="s">
        <v>1199</v>
      </c>
      <c r="D77" s="16273"/>
      <c r="E77" s="16079"/>
      <c r="F77" s="16217"/>
      <c r="G77" s="16245"/>
      <c r="H77" s="1371"/>
      <c r="I77" s="553" t="s">
        <v>1200</v>
      </c>
      <c r="J77" s="477"/>
      <c r="K77" s="1371"/>
      <c r="L77" s="136"/>
      <c r="M77" s="16033"/>
      <c r="N77" s="251"/>
      <c r="O77" s="1487"/>
      <c r="P77" s="1487"/>
    </row>
    <row r="78" spans="1:33" s="14433" customFormat="1" ht="0.75" hidden="1" customHeight="1">
      <c r="A78" s="1642"/>
      <c r="B78" s="1642"/>
      <c r="C78" s="284" t="s">
        <v>1205</v>
      </c>
      <c r="D78" s="16273"/>
      <c r="E78" s="16079"/>
      <c r="F78" s="16217"/>
      <c r="G78" s="315"/>
      <c r="H78" s="1371"/>
      <c r="I78" s="553"/>
      <c r="J78" s="477"/>
      <c r="K78" s="1371"/>
      <c r="L78" s="136"/>
      <c r="M78" s="16033"/>
      <c r="N78" s="251"/>
      <c r="O78" s="1487"/>
      <c r="P78" s="1487"/>
    </row>
    <row r="79" spans="1:33" s="14433" customFormat="1" ht="18.75" hidden="1" customHeight="1">
      <c r="A79" s="1642" t="s">
        <v>407</v>
      </c>
      <c r="B79" s="1642" t="s">
        <v>408</v>
      </c>
      <c r="C79" s="284"/>
      <c r="D79" s="16273"/>
      <c r="E79" s="16079"/>
      <c r="F79" s="16217" t="str">
        <f>INDEX(PT_DIFFERENTIATION_VTAR,MATCH(A79,PT_DIFFERENTIATION_VTAR_ID,0))</f>
        <v>Тариф на транспортировку сточных вод</v>
      </c>
      <c r="G79" s="16245" t="str">
        <f>INDEX(PT_DIFFERENTIATION_NTAR,MATCH(B79,PT_DIFFERENTIATION_NTAR_ID,0))</f>
        <v/>
      </c>
      <c r="H79" s="1723"/>
      <c r="I79" s="1601"/>
      <c r="J79" s="1635"/>
      <c r="K79" s="1726"/>
      <c r="L79" s="1723" t="s">
        <v>443</v>
      </c>
      <c r="M79" s="16033"/>
      <c r="N79" s="251"/>
      <c r="O79" s="1487"/>
      <c r="P79" s="1487"/>
    </row>
    <row r="80" spans="1:33" s="14433" customFormat="1" ht="18.75" hidden="1" customHeight="1">
      <c r="A80" s="1642"/>
      <c r="B80" s="1642"/>
      <c r="C80" s="284" t="s">
        <v>1199</v>
      </c>
      <c r="D80" s="16273"/>
      <c r="E80" s="16079"/>
      <c r="F80" s="16217"/>
      <c r="G80" s="16245"/>
      <c r="H80" s="1371"/>
      <c r="I80" s="553" t="s">
        <v>1200</v>
      </c>
      <c r="J80" s="477"/>
      <c r="K80" s="1371"/>
      <c r="L80" s="136"/>
      <c r="M80" s="16033"/>
      <c r="N80" s="251"/>
      <c r="O80" s="1487"/>
      <c r="P80" s="1487"/>
    </row>
    <row r="81" spans="1:16" s="14433" customFormat="1" ht="0.75" hidden="1" customHeight="1">
      <c r="A81" s="1642"/>
      <c r="B81" s="1642"/>
      <c r="C81" s="284" t="s">
        <v>1205</v>
      </c>
      <c r="D81" s="16273"/>
      <c r="E81" s="16079"/>
      <c r="F81" s="16217"/>
      <c r="G81" s="315"/>
      <c r="H81" s="1371"/>
      <c r="I81" s="553"/>
      <c r="J81" s="477"/>
      <c r="K81" s="1371"/>
      <c r="L81" s="136"/>
      <c r="M81" s="16033"/>
      <c r="N81" s="251"/>
      <c r="O81" s="1487"/>
      <c r="P81" s="1487"/>
    </row>
    <row r="82" spans="1:16" s="14433" customFormat="1" ht="18.75" hidden="1" customHeight="1">
      <c r="A82" s="1642" t="s">
        <v>412</v>
      </c>
      <c r="B82" s="1642" t="s">
        <v>413</v>
      </c>
      <c r="C82" s="284"/>
      <c r="D82" s="16273"/>
      <c r="E82" s="16079"/>
      <c r="F82" s="16217" t="str">
        <f>INDEX(PT_DIFFERENTIATION_VTAR,MATCH(A82,PT_DIFFERENTIATION_VTAR_ID,0))</f>
        <v>Тариф на подключение (технологическое присоединение) к централизованной системе водоотведения</v>
      </c>
      <c r="G82" s="16245" t="str">
        <f>INDEX(PT_DIFFERENTIATION_NTAR,MATCH(B82,PT_DIFFERENTIATION_NTAR_ID,0))</f>
        <v/>
      </c>
      <c r="H82" s="1723"/>
      <c r="I82" s="1601"/>
      <c r="J82" s="1635"/>
      <c r="K82" s="1726"/>
      <c r="L82" s="1723" t="s">
        <v>443</v>
      </c>
      <c r="M82" s="16033"/>
      <c r="N82" s="251"/>
      <c r="O82" s="1487"/>
      <c r="P82" s="1487"/>
    </row>
    <row r="83" spans="1:16" s="14433" customFormat="1" ht="18.75" hidden="1" customHeight="1">
      <c r="A83" s="1642"/>
      <c r="B83" s="1642"/>
      <c r="C83" s="284" t="s">
        <v>1199</v>
      </c>
      <c r="D83" s="16273"/>
      <c r="E83" s="16079"/>
      <c r="F83" s="16217"/>
      <c r="G83" s="16245"/>
      <c r="H83" s="1371"/>
      <c r="I83" s="553" t="s">
        <v>1200</v>
      </c>
      <c r="J83" s="477"/>
      <c r="K83" s="1371"/>
      <c r="L83" s="136"/>
      <c r="M83" s="16033"/>
      <c r="N83" s="251"/>
      <c r="O83" s="1487"/>
      <c r="P83" s="1487"/>
    </row>
    <row r="84" spans="1:16" s="14433" customFormat="1" ht="0.75" customHeight="1">
      <c r="A84" s="1642"/>
      <c r="B84" s="1642"/>
      <c r="C84" s="284" t="s">
        <v>1205</v>
      </c>
      <c r="D84" s="16273"/>
      <c r="E84" s="16079"/>
      <c r="F84" s="16217"/>
      <c r="G84" s="315"/>
      <c r="H84" s="1371"/>
      <c r="I84" s="553"/>
      <c r="J84" s="477"/>
      <c r="K84" s="1371"/>
      <c r="L84" s="136"/>
      <c r="M84" s="16033"/>
      <c r="N84" s="251"/>
      <c r="O84" s="1487"/>
      <c r="P84" s="1487"/>
    </row>
    <row r="85" spans="1:16" ht="18.75" customHeight="1">
      <c r="A85" s="1642"/>
      <c r="B85" s="1642"/>
      <c r="D85" s="291"/>
      <c r="E85" s="73" t="s">
        <v>102</v>
      </c>
      <c r="F85" s="162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5" s="16272"/>
      <c r="H85" s="16272"/>
      <c r="I85" s="16272"/>
      <c r="J85" s="16272"/>
      <c r="K85" s="16272"/>
      <c r="L85" s="16272"/>
      <c r="M85" s="214"/>
      <c r="N85" s="251"/>
    </row>
    <row r="86" spans="1:16" ht="33.75" customHeight="1">
      <c r="A86" s="1642"/>
      <c r="B86" s="1642"/>
      <c r="D86" s="291"/>
      <c r="E86" s="314"/>
      <c r="F86" s="120" t="s">
        <v>443</v>
      </c>
      <c r="G86" s="120" t="s">
        <v>443</v>
      </c>
      <c r="H86" s="16092" t="s">
        <v>443</v>
      </c>
      <c r="I86" s="16094"/>
      <c r="J86" s="120" t="s">
        <v>443</v>
      </c>
      <c r="K86" s="120" t="s">
        <v>443</v>
      </c>
      <c r="L86" s="316"/>
      <c r="M86" s="261" t="s">
        <v>1206</v>
      </c>
      <c r="N86" s="251"/>
    </row>
    <row r="87" spans="1:16" ht="18.75" customHeight="1">
      <c r="A87" s="1642"/>
      <c r="B87" s="1642"/>
      <c r="D87" s="291"/>
      <c r="E87" s="73" t="s">
        <v>89</v>
      </c>
      <c r="F87" s="16272" t="s">
        <v>1207</v>
      </c>
      <c r="G87" s="16272"/>
      <c r="H87" s="16272"/>
      <c r="I87" s="16272"/>
      <c r="J87" s="16272"/>
      <c r="K87" s="16272"/>
      <c r="L87" s="16272"/>
      <c r="M87" s="214"/>
      <c r="N87" s="251"/>
    </row>
    <row r="88" spans="1:16" s="14433" customFormat="1" ht="60.75" hidden="1" customHeight="1">
      <c r="A88" s="1642" t="s">
        <v>186</v>
      </c>
      <c r="B88" s="1642" t="s">
        <v>187</v>
      </c>
      <c r="C88" s="284"/>
      <c r="D88" s="16273"/>
      <c r="E88" s="16079"/>
      <c r="F88" s="16217"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16245" t="str">
        <f>INDEX(PT_DIFFERENTIATION_NTAR,MATCH(B88,PT_DIFFERENTIATION_NTAR_ID,0))</f>
        <v/>
      </c>
      <c r="H88" s="1723"/>
      <c r="I88" s="1601"/>
      <c r="J88" s="1635"/>
      <c r="K88" s="1640"/>
      <c r="L88" s="1723" t="s">
        <v>443</v>
      </c>
      <c r="M88" s="16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251"/>
      <c r="O88" s="1487"/>
      <c r="P88" s="1487"/>
    </row>
    <row r="89" spans="1:16" s="14433" customFormat="1" ht="18.75" hidden="1" customHeight="1">
      <c r="A89" s="1642"/>
      <c r="B89" s="1642"/>
      <c r="C89" s="284" t="s">
        <v>1201</v>
      </c>
      <c r="D89" s="16273"/>
      <c r="E89" s="16079"/>
      <c r="F89" s="16217"/>
      <c r="G89" s="16245"/>
      <c r="H89" s="1371"/>
      <c r="I89" s="553" t="s">
        <v>1200</v>
      </c>
      <c r="J89" s="477"/>
      <c r="K89" s="1371"/>
      <c r="L89" s="136"/>
      <c r="M89" s="16033"/>
      <c r="N89" s="251"/>
      <c r="O89" s="1487"/>
      <c r="P89" s="1487"/>
    </row>
    <row r="90" spans="1:16" s="14433" customFormat="1" ht="0.75" hidden="1" customHeight="1">
      <c r="A90" s="1642"/>
      <c r="B90" s="1642"/>
      <c r="C90" s="284" t="s">
        <v>1208</v>
      </c>
      <c r="D90" s="16273"/>
      <c r="E90" s="16079"/>
      <c r="F90" s="16217"/>
      <c r="G90" s="315"/>
      <c r="H90" s="1371"/>
      <c r="I90" s="553"/>
      <c r="J90" s="477"/>
      <c r="K90" s="1371"/>
      <c r="L90" s="136"/>
      <c r="M90" s="16033"/>
      <c r="N90" s="251"/>
      <c r="O90" s="1487"/>
      <c r="P90" s="1487"/>
    </row>
    <row r="91" spans="1:16" s="14433" customFormat="1" ht="45" hidden="1" customHeight="1">
      <c r="A91" s="1642" t="s">
        <v>192</v>
      </c>
      <c r="B91" s="1642" t="s">
        <v>193</v>
      </c>
      <c r="C91" s="284"/>
      <c r="D91" s="16273"/>
      <c r="E91" s="16079"/>
      <c r="F91" s="16217"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16245" t="str">
        <f>INDEX(PT_DIFFERENTIATION_NTAR,MATCH(B91,PT_DIFFERENTIATION_NTAR_ID,0))</f>
        <v/>
      </c>
      <c r="H91" s="1723"/>
      <c r="I91" s="1601"/>
      <c r="J91" s="1635"/>
      <c r="K91" s="1640"/>
      <c r="L91" s="1723" t="s">
        <v>443</v>
      </c>
      <c r="M91" s="16034"/>
      <c r="N91" s="251"/>
      <c r="O91" s="1487"/>
      <c r="P91" s="1487"/>
    </row>
    <row r="92" spans="1:16" s="14433" customFormat="1" ht="18.75" hidden="1" customHeight="1">
      <c r="A92" s="1642"/>
      <c r="B92" s="1642"/>
      <c r="C92" s="284" t="s">
        <v>1201</v>
      </c>
      <c r="D92" s="16273"/>
      <c r="E92" s="16079"/>
      <c r="F92" s="16217"/>
      <c r="G92" s="16245"/>
      <c r="H92" s="1371"/>
      <c r="I92" s="553" t="s">
        <v>1200</v>
      </c>
      <c r="J92" s="477"/>
      <c r="K92" s="1371"/>
      <c r="L92" s="136"/>
      <c r="M92" s="1722"/>
      <c r="N92" s="251"/>
      <c r="O92" s="1487"/>
      <c r="P92" s="1487"/>
    </row>
    <row r="93" spans="1:16" s="14433" customFormat="1" ht="0.75" hidden="1" customHeight="1">
      <c r="A93" s="1642"/>
      <c r="B93" s="1642"/>
      <c r="C93" s="284" t="s">
        <v>1208</v>
      </c>
      <c r="D93" s="16273"/>
      <c r="E93" s="16079"/>
      <c r="F93" s="16217"/>
      <c r="G93" s="315"/>
      <c r="H93" s="1371"/>
      <c r="I93" s="553"/>
      <c r="J93" s="477"/>
      <c r="K93" s="1371"/>
      <c r="L93" s="136"/>
      <c r="M93" s="258"/>
      <c r="N93" s="251"/>
      <c r="O93" s="1487"/>
      <c r="P93" s="1487"/>
    </row>
    <row r="94" spans="1:16" s="14433" customFormat="1" ht="45" hidden="1" customHeight="1">
      <c r="A94" s="1642" t="s">
        <v>198</v>
      </c>
      <c r="B94" s="1642" t="s">
        <v>199</v>
      </c>
      <c r="C94" s="284"/>
      <c r="D94" s="16273"/>
      <c r="E94" s="16079"/>
      <c r="F94" s="16217"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16245" t="str">
        <f>INDEX(PT_DIFFERENTIATION_NTAR,MATCH(B94,PT_DIFFERENTIATION_NTAR_ID,0))</f>
        <v/>
      </c>
      <c r="H94" s="1723"/>
      <c r="I94" s="1601"/>
      <c r="J94" s="1635"/>
      <c r="K94" s="1640"/>
      <c r="L94" s="1723" t="s">
        <v>443</v>
      </c>
      <c r="M94" s="258"/>
      <c r="N94" s="251"/>
      <c r="O94" s="1487"/>
      <c r="P94" s="1487"/>
    </row>
    <row r="95" spans="1:16" s="14433" customFormat="1" ht="18.75" hidden="1" customHeight="1">
      <c r="A95" s="1642"/>
      <c r="B95" s="1642"/>
      <c r="C95" s="284" t="s">
        <v>1201</v>
      </c>
      <c r="D95" s="16273"/>
      <c r="E95" s="16079"/>
      <c r="F95" s="16217"/>
      <c r="G95" s="16245"/>
      <c r="H95" s="1371"/>
      <c r="I95" s="553" t="s">
        <v>1200</v>
      </c>
      <c r="J95" s="477"/>
      <c r="K95" s="1371"/>
      <c r="L95" s="136"/>
      <c r="M95" s="258"/>
      <c r="N95" s="251"/>
      <c r="O95" s="1487"/>
      <c r="P95" s="1487"/>
    </row>
    <row r="96" spans="1:16" s="14433" customFormat="1" ht="0.75" hidden="1" customHeight="1">
      <c r="A96" s="1642"/>
      <c r="B96" s="1642"/>
      <c r="C96" s="284" t="s">
        <v>1208</v>
      </c>
      <c r="D96" s="16273"/>
      <c r="E96" s="16079"/>
      <c r="F96" s="16217"/>
      <c r="G96" s="315"/>
      <c r="H96" s="1371"/>
      <c r="I96" s="553"/>
      <c r="J96" s="477"/>
      <c r="K96" s="1371"/>
      <c r="L96" s="136"/>
      <c r="M96" s="258"/>
      <c r="N96" s="251"/>
      <c r="O96" s="1487"/>
      <c r="P96" s="1487"/>
    </row>
    <row r="97" spans="1:16" s="14433" customFormat="1" ht="45" hidden="1" customHeight="1">
      <c r="A97" s="1642" t="s">
        <v>204</v>
      </c>
      <c r="B97" s="1642" t="s">
        <v>205</v>
      </c>
      <c r="C97" s="284"/>
      <c r="D97" s="16273"/>
      <c r="E97" s="16079"/>
      <c r="F97" s="16217"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16245" t="str">
        <f>INDEX(PT_DIFFERENTIATION_NTAR,MATCH(B97,PT_DIFFERENTIATION_NTAR_ID,0))</f>
        <v/>
      </c>
      <c r="H97" s="1723"/>
      <c r="I97" s="1601"/>
      <c r="J97" s="1635"/>
      <c r="K97" s="1640"/>
      <c r="L97" s="1723" t="s">
        <v>443</v>
      </c>
      <c r="M97" s="258"/>
      <c r="N97" s="251"/>
      <c r="O97" s="1487"/>
      <c r="P97" s="1487"/>
    </row>
    <row r="98" spans="1:16" s="14433" customFormat="1" ht="18.75" hidden="1" customHeight="1">
      <c r="A98" s="1642"/>
      <c r="B98" s="1642"/>
      <c r="C98" s="284" t="s">
        <v>1201</v>
      </c>
      <c r="D98" s="16273"/>
      <c r="E98" s="16079"/>
      <c r="F98" s="16217"/>
      <c r="G98" s="16245"/>
      <c r="H98" s="1371"/>
      <c r="I98" s="553" t="s">
        <v>1200</v>
      </c>
      <c r="J98" s="477"/>
      <c r="K98" s="1371"/>
      <c r="L98" s="136"/>
      <c r="M98" s="258"/>
      <c r="N98" s="251"/>
      <c r="O98" s="1487"/>
      <c r="P98" s="1487"/>
    </row>
    <row r="99" spans="1:16" s="14433" customFormat="1" ht="0.75" hidden="1" customHeight="1">
      <c r="A99" s="1642"/>
      <c r="B99" s="1642"/>
      <c r="C99" s="284" t="s">
        <v>1208</v>
      </c>
      <c r="D99" s="16273"/>
      <c r="E99" s="16079"/>
      <c r="F99" s="16217"/>
      <c r="G99" s="315"/>
      <c r="H99" s="1371"/>
      <c r="I99" s="553"/>
      <c r="J99" s="477"/>
      <c r="K99" s="1371"/>
      <c r="L99" s="136"/>
      <c r="M99" s="258"/>
      <c r="N99" s="251"/>
      <c r="O99" s="1487"/>
      <c r="P99" s="1487"/>
    </row>
    <row r="100" spans="1:16" s="14433" customFormat="1" ht="18.75" hidden="1" customHeight="1">
      <c r="A100" s="1642" t="s">
        <v>210</v>
      </c>
      <c r="B100" s="1642" t="s">
        <v>211</v>
      </c>
      <c r="C100" s="284"/>
      <c r="D100" s="16273"/>
      <c r="E100" s="16079"/>
      <c r="F100" s="16217" t="str">
        <f>INDEX(PT_DIFFERENTIATION_VTAR,MATCH(A100,PT_DIFFERENTIATION_VTAR_ID,0))</f>
        <v>Тарифы на услуги по передаче тепловой энергии</v>
      </c>
      <c r="G100" s="16245" t="str">
        <f>INDEX(PT_DIFFERENTIATION_NTAR,MATCH(B100,PT_DIFFERENTIATION_NTAR_ID,0))</f>
        <v/>
      </c>
      <c r="H100" s="1723"/>
      <c r="I100" s="1601"/>
      <c r="J100" s="1635"/>
      <c r="K100" s="1640"/>
      <c r="L100" s="1723" t="s">
        <v>443</v>
      </c>
      <c r="M100" s="258"/>
      <c r="N100" s="251"/>
      <c r="O100" s="1487"/>
      <c r="P100" s="1487"/>
    </row>
    <row r="101" spans="1:16" s="14433" customFormat="1" ht="18.75" hidden="1" customHeight="1">
      <c r="A101" s="1642"/>
      <c r="B101" s="1642"/>
      <c r="C101" s="284" t="s">
        <v>1201</v>
      </c>
      <c r="D101" s="16273"/>
      <c r="E101" s="16079"/>
      <c r="F101" s="16217"/>
      <c r="G101" s="16245"/>
      <c r="H101" s="1371"/>
      <c r="I101" s="553" t="s">
        <v>1200</v>
      </c>
      <c r="J101" s="477"/>
      <c r="K101" s="1371"/>
      <c r="L101" s="136"/>
      <c r="M101" s="258"/>
      <c r="N101" s="251"/>
      <c r="O101" s="1487"/>
      <c r="P101" s="1487"/>
    </row>
    <row r="102" spans="1:16" s="14433" customFormat="1" ht="0.75" hidden="1" customHeight="1">
      <c r="A102" s="1642"/>
      <c r="B102" s="1642"/>
      <c r="C102" s="284" t="s">
        <v>1208</v>
      </c>
      <c r="D102" s="16273"/>
      <c r="E102" s="16079"/>
      <c r="F102" s="16217"/>
      <c r="G102" s="315"/>
      <c r="H102" s="1371"/>
      <c r="I102" s="553"/>
      <c r="J102" s="477"/>
      <c r="K102" s="1371"/>
      <c r="L102" s="136"/>
      <c r="M102" s="258"/>
      <c r="N102" s="251"/>
      <c r="O102" s="1487"/>
      <c r="P102" s="1487"/>
    </row>
    <row r="103" spans="1:16" s="14433" customFormat="1" ht="18.75" hidden="1" customHeight="1">
      <c r="A103" s="1642" t="s">
        <v>216</v>
      </c>
      <c r="B103" s="1642" t="s">
        <v>217</v>
      </c>
      <c r="C103" s="284"/>
      <c r="D103" s="16273"/>
      <c r="E103" s="16079"/>
      <c r="F103" s="16217" t="str">
        <f>INDEX(PT_DIFFERENTIATION_VTAR,MATCH(A103,PT_DIFFERENTIATION_VTAR_ID,0))</f>
        <v>Тарифы на услуги по передаче теплоносителя</v>
      </c>
      <c r="G103" s="16245" t="str">
        <f>INDEX(PT_DIFFERENTIATION_NTAR,MATCH(B103,PT_DIFFERENTIATION_NTAR_ID,0))</f>
        <v/>
      </c>
      <c r="H103" s="1723"/>
      <c r="I103" s="1601"/>
      <c r="J103" s="1635"/>
      <c r="K103" s="1640"/>
      <c r="L103" s="1723" t="s">
        <v>443</v>
      </c>
      <c r="M103" s="258"/>
      <c r="N103" s="251"/>
      <c r="O103" s="1487"/>
      <c r="P103" s="1487"/>
    </row>
    <row r="104" spans="1:16" s="14433" customFormat="1" ht="18.75" hidden="1" customHeight="1">
      <c r="A104" s="1642"/>
      <c r="B104" s="1642"/>
      <c r="C104" s="284" t="s">
        <v>1201</v>
      </c>
      <c r="D104" s="16273"/>
      <c r="E104" s="16079"/>
      <c r="F104" s="16217"/>
      <c r="G104" s="16245"/>
      <c r="H104" s="1371"/>
      <c r="I104" s="553" t="s">
        <v>1200</v>
      </c>
      <c r="J104" s="477"/>
      <c r="K104" s="1371"/>
      <c r="L104" s="136"/>
      <c r="M104" s="258"/>
      <c r="N104" s="251"/>
      <c r="O104" s="1487"/>
      <c r="P104" s="1487"/>
    </row>
    <row r="105" spans="1:16" s="14433" customFormat="1" ht="0.75" hidden="1" customHeight="1">
      <c r="A105" s="1642"/>
      <c r="B105" s="1642"/>
      <c r="C105" s="284" t="s">
        <v>1208</v>
      </c>
      <c r="D105" s="16273"/>
      <c r="E105" s="16079"/>
      <c r="F105" s="16217"/>
      <c r="G105" s="315"/>
      <c r="H105" s="1371"/>
      <c r="I105" s="553"/>
      <c r="J105" s="477"/>
      <c r="K105" s="1371"/>
      <c r="L105" s="136"/>
      <c r="M105" s="258"/>
      <c r="N105" s="251"/>
      <c r="O105" s="1487"/>
      <c r="P105" s="1487"/>
    </row>
    <row r="106" spans="1:16" s="14433" customFormat="1" ht="18.75" hidden="1" customHeight="1">
      <c r="A106" s="1642" t="s">
        <v>222</v>
      </c>
      <c r="B106" s="1642" t="s">
        <v>223</v>
      </c>
      <c r="C106" s="284"/>
      <c r="D106" s="16273"/>
      <c r="E106" s="16079"/>
      <c r="F106" s="16217" t="str">
        <f>INDEX(PT_DIFFERENTIATION_VTAR,MATCH(A106,PT_DIFFERENTIATION_VTAR_ID,0))</f>
        <v>Плата за услуги по поддержанию резервной тепловой мощности при отсутствии потребления тепловой энергии</v>
      </c>
      <c r="G106" s="16245" t="str">
        <f>INDEX(PT_DIFFERENTIATION_NTAR,MATCH(B106,PT_DIFFERENTIATION_NTAR_ID,0))</f>
        <v/>
      </c>
      <c r="H106" s="1723"/>
      <c r="I106" s="1601"/>
      <c r="J106" s="1635"/>
      <c r="K106" s="1640"/>
      <c r="L106" s="1723" t="s">
        <v>443</v>
      </c>
      <c r="M106" s="258"/>
      <c r="N106" s="251"/>
      <c r="O106" s="1487"/>
      <c r="P106" s="1487"/>
    </row>
    <row r="107" spans="1:16" s="14433" customFormat="1" ht="18.75" hidden="1" customHeight="1">
      <c r="A107" s="1642"/>
      <c r="B107" s="1642"/>
      <c r="C107" s="284" t="s">
        <v>1201</v>
      </c>
      <c r="D107" s="16273"/>
      <c r="E107" s="16079"/>
      <c r="F107" s="16217"/>
      <c r="G107" s="16245"/>
      <c r="H107" s="1371"/>
      <c r="I107" s="553" t="s">
        <v>1200</v>
      </c>
      <c r="J107" s="477"/>
      <c r="K107" s="1371"/>
      <c r="L107" s="136"/>
      <c r="M107" s="258"/>
      <c r="N107" s="251"/>
      <c r="O107" s="1487"/>
      <c r="P107" s="1487"/>
    </row>
    <row r="108" spans="1:16" s="14433" customFormat="1" ht="0.75" hidden="1" customHeight="1">
      <c r="A108" s="1642"/>
      <c r="B108" s="1642"/>
      <c r="C108" s="284" t="s">
        <v>1208</v>
      </c>
      <c r="D108" s="16273"/>
      <c r="E108" s="16079"/>
      <c r="F108" s="16217"/>
      <c r="G108" s="315"/>
      <c r="H108" s="1371"/>
      <c r="I108" s="553"/>
      <c r="J108" s="477"/>
      <c r="K108" s="1371"/>
      <c r="L108" s="136"/>
      <c r="M108" s="258"/>
      <c r="N108" s="251"/>
      <c r="O108" s="1487"/>
      <c r="P108" s="1487"/>
    </row>
    <row r="109" spans="1:16" s="14433" customFormat="1" ht="18.75" hidden="1" customHeight="1">
      <c r="A109" s="1642" t="s">
        <v>228</v>
      </c>
      <c r="B109" s="1642" t="s">
        <v>229</v>
      </c>
      <c r="C109" s="284"/>
      <c r="D109" s="16273"/>
      <c r="E109" s="16079"/>
      <c r="F109" s="16217" t="str">
        <f>INDEX(PT_DIFFERENTIATION_VTAR,MATCH(A109,PT_DIFFERENTIATION_VTAR_ID,0))</f>
        <v>Плата за подключение (технологическое присоединение) к системе теплоснабжения</v>
      </c>
      <c r="G109" s="16245" t="str">
        <f>INDEX(PT_DIFFERENTIATION_NTAR,MATCH(B109,PT_DIFFERENTIATION_NTAR_ID,0))</f>
        <v/>
      </c>
      <c r="H109" s="1723"/>
      <c r="I109" s="1601"/>
      <c r="J109" s="1635"/>
      <c r="K109" s="1640"/>
      <c r="L109" s="1723" t="s">
        <v>443</v>
      </c>
      <c r="M109" s="258"/>
      <c r="N109" s="251"/>
      <c r="O109" s="1487"/>
      <c r="P109" s="1487"/>
    </row>
    <row r="110" spans="1:16" s="14433" customFormat="1" ht="18.75" hidden="1" customHeight="1">
      <c r="A110" s="1642"/>
      <c r="B110" s="1642"/>
      <c r="C110" s="284" t="s">
        <v>1201</v>
      </c>
      <c r="D110" s="16273"/>
      <c r="E110" s="16079"/>
      <c r="F110" s="16217"/>
      <c r="G110" s="16245"/>
      <c r="H110" s="1371"/>
      <c r="I110" s="553" t="s">
        <v>1200</v>
      </c>
      <c r="J110" s="477"/>
      <c r="K110" s="1371"/>
      <c r="L110" s="136"/>
      <c r="M110" s="258"/>
      <c r="N110" s="251"/>
      <c r="O110" s="1487"/>
      <c r="P110" s="1487"/>
    </row>
    <row r="111" spans="1:16" s="14433" customFormat="1" ht="0.75" hidden="1" customHeight="1">
      <c r="A111" s="1642"/>
      <c r="B111" s="1642"/>
      <c r="C111" s="284" t="s">
        <v>1208</v>
      </c>
      <c r="D111" s="16273"/>
      <c r="E111" s="16079"/>
      <c r="F111" s="16217"/>
      <c r="G111" s="315"/>
      <c r="H111" s="1371"/>
      <c r="I111" s="553"/>
      <c r="J111" s="477"/>
      <c r="K111" s="1371"/>
      <c r="L111" s="136"/>
      <c r="M111" s="258"/>
      <c r="N111" s="251"/>
      <c r="O111" s="1487"/>
      <c r="P111" s="1487"/>
    </row>
    <row r="112" spans="1:16" s="14433" customFormat="1" ht="18.75" hidden="1" customHeight="1">
      <c r="A112" s="1642" t="s">
        <v>254</v>
      </c>
      <c r="B112" s="1642" t="s">
        <v>255</v>
      </c>
      <c r="C112" s="284"/>
      <c r="D112" s="16273"/>
      <c r="E112" s="16079"/>
      <c r="F112" s="16217" t="str">
        <f>INDEX(PT_DIFFERENTIATION_VTAR,MATCH(A112,PT_DIFFERENTIATION_VTAR_ID,0))</f>
        <v>Тариф на питьевую воду (питьевое водоснабжение)</v>
      </c>
      <c r="G112" s="16245" t="str">
        <f>INDEX(PT_DIFFERENTIATION_NTAR,MATCH(B112,PT_DIFFERENTIATION_NTAR_ID,0))</f>
        <v/>
      </c>
      <c r="H112" s="1723"/>
      <c r="I112" s="1601"/>
      <c r="J112" s="1635"/>
      <c r="K112" s="1640"/>
      <c r="L112" s="1723" t="s">
        <v>443</v>
      </c>
      <c r="M112" s="258"/>
      <c r="N112" s="251"/>
      <c r="O112" s="1487"/>
      <c r="P112" s="1487"/>
    </row>
    <row r="113" spans="1:16" s="14433" customFormat="1" ht="18.75" hidden="1" customHeight="1">
      <c r="A113" s="1642"/>
      <c r="B113" s="1642"/>
      <c r="C113" s="284" t="s">
        <v>1201</v>
      </c>
      <c r="D113" s="16273"/>
      <c r="E113" s="16079"/>
      <c r="F113" s="16217"/>
      <c r="G113" s="16245"/>
      <c r="H113" s="1371"/>
      <c r="I113" s="553" t="s">
        <v>1200</v>
      </c>
      <c r="J113" s="477"/>
      <c r="K113" s="1371"/>
      <c r="L113" s="136"/>
      <c r="M113" s="258"/>
      <c r="N113" s="251"/>
      <c r="O113" s="1487"/>
      <c r="P113" s="1487"/>
    </row>
    <row r="114" spans="1:16" s="14433" customFormat="1" ht="0.75" hidden="1" customHeight="1">
      <c r="A114" s="1642"/>
      <c r="B114" s="1642"/>
      <c r="C114" s="284" t="s">
        <v>1208</v>
      </c>
      <c r="D114" s="16273"/>
      <c r="E114" s="16079"/>
      <c r="F114" s="16217"/>
      <c r="G114" s="315"/>
      <c r="H114" s="1371"/>
      <c r="I114" s="553"/>
      <c r="J114" s="477"/>
      <c r="K114" s="1371"/>
      <c r="L114" s="136"/>
      <c r="M114" s="258"/>
      <c r="N114" s="251"/>
      <c r="O114" s="1487"/>
      <c r="P114" s="1487"/>
    </row>
    <row r="115" spans="1:16" s="14433" customFormat="1" ht="18.75" hidden="1" customHeight="1">
      <c r="A115" s="1642" t="s">
        <v>259</v>
      </c>
      <c r="B115" s="1642" t="s">
        <v>260</v>
      </c>
      <c r="C115" s="284"/>
      <c r="D115" s="16273"/>
      <c r="E115" s="16079"/>
      <c r="F115" s="16217" t="str">
        <f>INDEX(PT_DIFFERENTIATION_VTAR,MATCH(A115,PT_DIFFERENTIATION_VTAR_ID,0))</f>
        <v>Тариф на техническую воду</v>
      </c>
      <c r="G115" s="16245" t="str">
        <f>INDEX(PT_DIFFERENTIATION_NTAR,MATCH(B115,PT_DIFFERENTIATION_NTAR_ID,0))</f>
        <v/>
      </c>
      <c r="H115" s="1723"/>
      <c r="I115" s="1601"/>
      <c r="J115" s="1635"/>
      <c r="K115" s="1640"/>
      <c r="L115" s="1723" t="s">
        <v>443</v>
      </c>
      <c r="M115" s="258"/>
      <c r="N115" s="251"/>
      <c r="O115" s="1487"/>
      <c r="P115" s="1487"/>
    </row>
    <row r="116" spans="1:16" s="14433" customFormat="1" ht="18.75" hidden="1" customHeight="1">
      <c r="A116" s="1642"/>
      <c r="B116" s="1642"/>
      <c r="C116" s="284" t="s">
        <v>1201</v>
      </c>
      <c r="D116" s="16273"/>
      <c r="E116" s="16079"/>
      <c r="F116" s="16217"/>
      <c r="G116" s="16245"/>
      <c r="H116" s="1371"/>
      <c r="I116" s="553" t="s">
        <v>1200</v>
      </c>
      <c r="J116" s="477"/>
      <c r="K116" s="1371"/>
      <c r="L116" s="136"/>
      <c r="M116" s="258"/>
      <c r="N116" s="251"/>
      <c r="O116" s="1487"/>
      <c r="P116" s="1487"/>
    </row>
    <row r="117" spans="1:16" s="14433" customFormat="1" ht="0.75" hidden="1" customHeight="1">
      <c r="A117" s="1642"/>
      <c r="B117" s="1642"/>
      <c r="C117" s="284" t="s">
        <v>1208</v>
      </c>
      <c r="D117" s="16273"/>
      <c r="E117" s="16079"/>
      <c r="F117" s="16217"/>
      <c r="G117" s="315"/>
      <c r="H117" s="1371"/>
      <c r="I117" s="553"/>
      <c r="J117" s="477"/>
      <c r="K117" s="1371"/>
      <c r="L117" s="136"/>
      <c r="M117" s="258"/>
      <c r="N117" s="251"/>
      <c r="O117" s="1487"/>
      <c r="P117" s="1487"/>
    </row>
    <row r="118" spans="1:16" s="14433" customFormat="1" ht="18.75" hidden="1" customHeight="1">
      <c r="A118" s="1642" t="s">
        <v>264</v>
      </c>
      <c r="B118" s="1642" t="s">
        <v>265</v>
      </c>
      <c r="C118" s="284"/>
      <c r="D118" s="16273"/>
      <c r="E118" s="16079"/>
      <c r="F118" s="16217" t="str">
        <f>INDEX(PT_DIFFERENTIATION_VTAR,MATCH(A118,PT_DIFFERENTIATION_VTAR_ID,0))</f>
        <v>Тариф на транспортировку воды</v>
      </c>
      <c r="G118" s="16245" t="str">
        <f>INDEX(PT_DIFFERENTIATION_NTAR,MATCH(B118,PT_DIFFERENTIATION_NTAR_ID,0))</f>
        <v/>
      </c>
      <c r="H118" s="1723"/>
      <c r="I118" s="1601"/>
      <c r="J118" s="1635"/>
      <c r="K118" s="1640"/>
      <c r="L118" s="1723" t="s">
        <v>443</v>
      </c>
      <c r="M118" s="258"/>
      <c r="N118" s="251"/>
      <c r="O118" s="1487"/>
      <c r="P118" s="1487"/>
    </row>
    <row r="119" spans="1:16" s="14433" customFormat="1" ht="18.75" hidden="1" customHeight="1">
      <c r="A119" s="1642"/>
      <c r="B119" s="1642"/>
      <c r="C119" s="284" t="s">
        <v>1201</v>
      </c>
      <c r="D119" s="16273"/>
      <c r="E119" s="16079"/>
      <c r="F119" s="16217"/>
      <c r="G119" s="16245"/>
      <c r="H119" s="1371"/>
      <c r="I119" s="553" t="s">
        <v>1200</v>
      </c>
      <c r="J119" s="477"/>
      <c r="K119" s="1371"/>
      <c r="L119" s="136"/>
      <c r="M119" s="258"/>
      <c r="N119" s="251"/>
      <c r="O119" s="1487"/>
      <c r="P119" s="1487"/>
    </row>
    <row r="120" spans="1:16" s="14433" customFormat="1" ht="0.75" hidden="1" customHeight="1">
      <c r="A120" s="1642"/>
      <c r="B120" s="1642"/>
      <c r="C120" s="284" t="s">
        <v>1208</v>
      </c>
      <c r="D120" s="16273"/>
      <c r="E120" s="16079"/>
      <c r="F120" s="16217"/>
      <c r="G120" s="315"/>
      <c r="H120" s="1371"/>
      <c r="I120" s="553"/>
      <c r="J120" s="477"/>
      <c r="K120" s="1371"/>
      <c r="L120" s="136"/>
      <c r="M120" s="258"/>
      <c r="N120" s="251"/>
      <c r="O120" s="1487"/>
      <c r="P120" s="1487"/>
    </row>
    <row r="121" spans="1:16" s="14433" customFormat="1" ht="18.75" hidden="1" customHeight="1">
      <c r="A121" s="1642" t="s">
        <v>269</v>
      </c>
      <c r="B121" s="1642" t="s">
        <v>270</v>
      </c>
      <c r="C121" s="284"/>
      <c r="D121" s="16273"/>
      <c r="E121" s="16079"/>
      <c r="F121" s="16217" t="str">
        <f>INDEX(PT_DIFFERENTIATION_VTAR,MATCH(A121,PT_DIFFERENTIATION_VTAR_ID,0))</f>
        <v>Тариф на подвоз воды</v>
      </c>
      <c r="G121" s="16245" t="str">
        <f>INDEX(PT_DIFFERENTIATION_NTAR,MATCH(B121,PT_DIFFERENTIATION_NTAR_ID,0))</f>
        <v/>
      </c>
      <c r="H121" s="1723"/>
      <c r="I121" s="1601"/>
      <c r="J121" s="1635"/>
      <c r="K121" s="1640"/>
      <c r="L121" s="1723" t="s">
        <v>443</v>
      </c>
      <c r="M121" s="258"/>
      <c r="N121" s="251"/>
      <c r="O121" s="1487"/>
      <c r="P121" s="1487"/>
    </row>
    <row r="122" spans="1:16" s="14433" customFormat="1" ht="18.75" hidden="1" customHeight="1">
      <c r="A122" s="1642"/>
      <c r="B122" s="1642"/>
      <c r="C122" s="284" t="s">
        <v>1201</v>
      </c>
      <c r="D122" s="16273"/>
      <c r="E122" s="16079"/>
      <c r="F122" s="16217"/>
      <c r="G122" s="16245"/>
      <c r="H122" s="1371"/>
      <c r="I122" s="553" t="s">
        <v>1200</v>
      </c>
      <c r="J122" s="477"/>
      <c r="K122" s="1371"/>
      <c r="L122" s="136"/>
      <c r="M122" s="258"/>
      <c r="N122" s="251"/>
      <c r="O122" s="1487"/>
      <c r="P122" s="1487"/>
    </row>
    <row r="123" spans="1:16" s="14433" customFormat="1" ht="0.75" hidden="1" customHeight="1">
      <c r="A123" s="1642"/>
      <c r="B123" s="1642"/>
      <c r="C123" s="284" t="s">
        <v>1208</v>
      </c>
      <c r="D123" s="16273"/>
      <c r="E123" s="16079"/>
      <c r="F123" s="16217"/>
      <c r="G123" s="315"/>
      <c r="H123" s="1371"/>
      <c r="I123" s="553"/>
      <c r="J123" s="477"/>
      <c r="K123" s="1371"/>
      <c r="L123" s="136"/>
      <c r="M123" s="258"/>
      <c r="N123" s="251"/>
      <c r="O123" s="1487"/>
      <c r="P123" s="1487"/>
    </row>
    <row r="124" spans="1:16" s="14433" customFormat="1" ht="18.75" hidden="1" customHeight="1">
      <c r="A124" s="1642" t="s">
        <v>274</v>
      </c>
      <c r="B124" s="1642" t="s">
        <v>275</v>
      </c>
      <c r="C124" s="284"/>
      <c r="D124" s="16273"/>
      <c r="E124" s="16079"/>
      <c r="F124" s="16217"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16245" t="str">
        <f>INDEX(PT_DIFFERENTIATION_NTAR,MATCH(B124,PT_DIFFERENTIATION_NTAR_ID,0))</f>
        <v/>
      </c>
      <c r="H124" s="1723"/>
      <c r="I124" s="1601"/>
      <c r="J124" s="1635"/>
      <c r="K124" s="1640"/>
      <c r="L124" s="1723" t="s">
        <v>443</v>
      </c>
      <c r="M124" s="258"/>
      <c r="N124" s="251"/>
      <c r="O124" s="1487"/>
      <c r="P124" s="1487"/>
    </row>
    <row r="125" spans="1:16" s="14433" customFormat="1" ht="18.75" hidden="1" customHeight="1">
      <c r="A125" s="1642"/>
      <c r="B125" s="1642"/>
      <c r="C125" s="284" t="s">
        <v>1201</v>
      </c>
      <c r="D125" s="16273"/>
      <c r="E125" s="16079"/>
      <c r="F125" s="16217"/>
      <c r="G125" s="16245"/>
      <c r="H125" s="1371"/>
      <c r="I125" s="553" t="s">
        <v>1200</v>
      </c>
      <c r="J125" s="477"/>
      <c r="K125" s="1371"/>
      <c r="L125" s="136"/>
      <c r="M125" s="258"/>
      <c r="N125" s="251"/>
      <c r="O125" s="1487"/>
      <c r="P125" s="1487"/>
    </row>
    <row r="126" spans="1:16" s="14433" customFormat="1" ht="0.75" hidden="1" customHeight="1">
      <c r="A126" s="1642"/>
      <c r="B126" s="1642"/>
      <c r="C126" s="284" t="s">
        <v>1208</v>
      </c>
      <c r="D126" s="16273"/>
      <c r="E126" s="16079"/>
      <c r="F126" s="16217"/>
      <c r="G126" s="315"/>
      <c r="H126" s="1371"/>
      <c r="I126" s="553"/>
      <c r="J126" s="477"/>
      <c r="K126" s="1371"/>
      <c r="L126" s="136"/>
      <c r="M126" s="258"/>
      <c r="N126" s="251"/>
      <c r="O126" s="1487"/>
      <c r="P126" s="1487"/>
    </row>
    <row r="127" spans="1:16" s="14433" customFormat="1" ht="18.75" hidden="1" customHeight="1">
      <c r="A127" s="1642" t="s">
        <v>283</v>
      </c>
      <c r="B127" s="1642" t="s">
        <v>284</v>
      </c>
      <c r="C127" s="284"/>
      <c r="D127" s="16273"/>
      <c r="E127" s="16079"/>
      <c r="F127" s="16217" t="str">
        <f>INDEX(PT_DIFFERENTIATION_VTAR,MATCH(A127,PT_DIFFERENTIATION_VTAR_ID,0))</f>
        <v>Тариф на горячую воду (горячее водоснабжение)</v>
      </c>
      <c r="G127" s="16245" t="str">
        <f>INDEX(PT_DIFFERENTIATION_NTAR,MATCH(B127,PT_DIFFERENTIATION_NTAR_ID,0))</f>
        <v>Тариф на горячую воду в закрытой системе горячего водоснабжения, поставляемую группе потребителей "население"</v>
      </c>
      <c r="H127" s="1723"/>
      <c r="I127" s="1601"/>
      <c r="J127" s="1635"/>
      <c r="K127" s="1640"/>
      <c r="L127" s="1723" t="s">
        <v>443</v>
      </c>
      <c r="M127" s="258"/>
      <c r="N127" s="251"/>
      <c r="O127" s="1487"/>
      <c r="P127" s="1487"/>
    </row>
    <row r="128" spans="1:16" s="14433" customFormat="1" ht="18.75" hidden="1" customHeight="1">
      <c r="A128" s="1642"/>
      <c r="B128" s="1642"/>
      <c r="C128" s="284" t="s">
        <v>1201</v>
      </c>
      <c r="D128" s="16273"/>
      <c r="E128" s="16079"/>
      <c r="F128" s="16217"/>
      <c r="G128" s="16245"/>
      <c r="H128" s="1371"/>
      <c r="I128" s="553" t="s">
        <v>1200</v>
      </c>
      <c r="J128" s="477"/>
      <c r="K128" s="1371"/>
      <c r="L128" s="136"/>
      <c r="M128" s="258"/>
      <c r="N128" s="251"/>
      <c r="O128" s="1487"/>
      <c r="P128" s="1487"/>
    </row>
    <row r="129" spans="1:33" s="15891" customFormat="1" ht="18.75" customHeight="1">
      <c r="A129" s="2775" t="s">
        <v>283</v>
      </c>
      <c r="B129" s="2775" t="s">
        <v>329</v>
      </c>
      <c r="C129" s="10455"/>
      <c r="D129" s="16274"/>
      <c r="E129" s="16275"/>
      <c r="F129" s="16275"/>
      <c r="G129" s="16245" t="str">
        <f>INDEX(PT_DIFFERENTIATION_NTAR,MATCH(B129,PT_DIFFERENTIATION_NTAR_ID,0))</f>
        <v>Тариф на горячую воду в закрытой системе горячего водоснабжения, поставляемую потребителям</v>
      </c>
      <c r="H129" s="2202"/>
      <c r="I129" s="10456"/>
      <c r="J129" s="10457"/>
      <c r="K129" s="10466"/>
      <c r="L129" s="2202" t="s">
        <v>443</v>
      </c>
      <c r="M129" s="10459"/>
      <c r="N129" s="10460"/>
      <c r="O129" s="2512"/>
      <c r="P129" s="2512"/>
      <c r="Q129" s="1892"/>
      <c r="R129" s="1892"/>
      <c r="S129" s="1892"/>
      <c r="T129" s="1892"/>
      <c r="U129" s="1892"/>
      <c r="V129" s="1892"/>
      <c r="W129" s="1892"/>
      <c r="X129" s="1892"/>
      <c r="Y129" s="1892"/>
      <c r="Z129" s="1892"/>
      <c r="AA129" s="1892"/>
      <c r="AB129" s="1892"/>
      <c r="AC129" s="1892"/>
      <c r="AD129" s="1892"/>
      <c r="AE129" s="1892"/>
      <c r="AF129" s="1892"/>
      <c r="AG129" s="1892"/>
    </row>
    <row r="130" spans="1:33" s="15891" customFormat="1" ht="18.75" customHeight="1">
      <c r="A130" s="2775"/>
      <c r="B130" s="2775"/>
      <c r="C130" s="10455" t="s">
        <v>1201</v>
      </c>
      <c r="D130" s="16274"/>
      <c r="E130" s="16275"/>
      <c r="F130" s="16275"/>
      <c r="G130" s="16245"/>
      <c r="H130" s="10467"/>
      <c r="I130" s="10468" t="s">
        <v>1200</v>
      </c>
      <c r="J130" s="10469"/>
      <c r="K130" s="10470"/>
      <c r="L130" s="10471"/>
      <c r="M130" s="10459"/>
      <c r="N130" s="10460"/>
      <c r="O130" s="2512"/>
      <c r="P130" s="2512"/>
      <c r="Q130" s="1892"/>
      <c r="R130" s="1892"/>
      <c r="S130" s="1892"/>
      <c r="T130" s="1892"/>
      <c r="U130" s="1892"/>
      <c r="V130" s="1892"/>
      <c r="W130" s="1892"/>
      <c r="X130" s="1892"/>
      <c r="Y130" s="1892"/>
      <c r="Z130" s="1892"/>
      <c r="AA130" s="1892"/>
      <c r="AB130" s="1892"/>
      <c r="AC130" s="1892"/>
      <c r="AD130" s="1892"/>
      <c r="AE130" s="1892"/>
      <c r="AF130" s="1892"/>
      <c r="AG130" s="1892"/>
    </row>
    <row r="131" spans="1:33" s="15893" customFormat="1" ht="18.75" customHeight="1">
      <c r="A131" s="10494" t="s">
        <v>283</v>
      </c>
      <c r="B131" s="10494" t="s">
        <v>360</v>
      </c>
      <c r="C131" s="14302"/>
      <c r="D131" s="16274"/>
      <c r="E131" s="16275"/>
      <c r="F131" s="16275"/>
      <c r="G131" s="16245" t="str">
        <f>INDEX(PT_DIFFERENTIATION_NTAR,MATCH(B131,PT_DIFFERENTIATION_NTAR_ID,0))</f>
        <v>Тариф на горячую воду в закрытой системе горячего водоснабжения, поставляемую группе потребителей "потребители (кроме населения)"</v>
      </c>
      <c r="H131" s="14303"/>
      <c r="I131" s="14304"/>
      <c r="J131" s="14305"/>
      <c r="K131" s="14315"/>
      <c r="L131" s="14303" t="s">
        <v>443</v>
      </c>
      <c r="M131" s="14307"/>
      <c r="N131" s="14308"/>
      <c r="O131" s="10501"/>
      <c r="P131" s="10501"/>
      <c r="Q131" s="14309"/>
      <c r="R131" s="14309"/>
      <c r="S131" s="14309"/>
      <c r="T131" s="14309"/>
      <c r="U131" s="14309"/>
      <c r="V131" s="14309"/>
      <c r="W131" s="14309"/>
      <c r="X131" s="14309"/>
      <c r="Y131" s="14309"/>
      <c r="Z131" s="14309"/>
      <c r="AA131" s="14309"/>
      <c r="AB131" s="14309"/>
      <c r="AC131" s="14309"/>
      <c r="AD131" s="14309"/>
      <c r="AE131" s="14309"/>
      <c r="AF131" s="14309"/>
      <c r="AG131" s="14309"/>
    </row>
    <row r="132" spans="1:33" s="15893" customFormat="1" ht="18.75" customHeight="1">
      <c r="A132" s="10494"/>
      <c r="B132" s="10494"/>
      <c r="C132" s="14302" t="s">
        <v>1201</v>
      </c>
      <c r="D132" s="16274"/>
      <c r="E132" s="16275"/>
      <c r="F132" s="16275"/>
      <c r="G132" s="16245"/>
      <c r="H132" s="14316"/>
      <c r="I132" s="14317" t="s">
        <v>1200</v>
      </c>
      <c r="J132" s="14318"/>
      <c r="K132" s="14319"/>
      <c r="L132" s="14320"/>
      <c r="M132" s="14307"/>
      <c r="N132" s="14308"/>
      <c r="O132" s="10501"/>
      <c r="P132" s="10501"/>
      <c r="Q132" s="14309"/>
      <c r="R132" s="14309"/>
      <c r="S132" s="14309"/>
      <c r="T132" s="14309"/>
      <c r="U132" s="14309"/>
      <c r="V132" s="14309"/>
      <c r="W132" s="14309"/>
      <c r="X132" s="14309"/>
      <c r="Y132" s="14309"/>
      <c r="Z132" s="14309"/>
      <c r="AA132" s="14309"/>
      <c r="AB132" s="14309"/>
      <c r="AC132" s="14309"/>
      <c r="AD132" s="14309"/>
      <c r="AE132" s="14309"/>
      <c r="AF132" s="14309"/>
      <c r="AG132" s="14309"/>
    </row>
    <row r="133" spans="1:33" s="14433" customFormat="1" ht="0.75" hidden="1" customHeight="1">
      <c r="A133" s="1642"/>
      <c r="B133" s="1642"/>
      <c r="C133" s="284" t="s">
        <v>1208</v>
      </c>
      <c r="D133" s="16273"/>
      <c r="E133" s="16079"/>
      <c r="F133" s="16217"/>
      <c r="G133" s="315"/>
      <c r="H133" s="1371"/>
      <c r="I133" s="553"/>
      <c r="J133" s="477"/>
      <c r="K133" s="1371"/>
      <c r="L133" s="136"/>
      <c r="M133" s="258"/>
      <c r="N133" s="251"/>
      <c r="O133" s="1487"/>
      <c r="P133" s="1487"/>
    </row>
    <row r="134" spans="1:33" s="14433" customFormat="1" ht="18.75" hidden="1" customHeight="1">
      <c r="A134" s="1642" t="s">
        <v>392</v>
      </c>
      <c r="B134" s="1642" t="s">
        <v>393</v>
      </c>
      <c r="C134" s="284"/>
      <c r="D134" s="16273"/>
      <c r="E134" s="16079"/>
      <c r="F134" s="16217" t="str">
        <f>INDEX(PT_DIFFERENTIATION_VTAR,MATCH(A134,PT_DIFFERENTIATION_VTAR_ID,0))</f>
        <v>Тариф на транспортировку горячей воды</v>
      </c>
      <c r="G134" s="16245" t="str">
        <f>INDEX(PT_DIFFERENTIATION_NTAR,MATCH(B134,PT_DIFFERENTIATION_NTAR_ID,0))</f>
        <v/>
      </c>
      <c r="H134" s="1723"/>
      <c r="I134" s="1601"/>
      <c r="J134" s="1635"/>
      <c r="K134" s="1640"/>
      <c r="L134" s="1723" t="s">
        <v>443</v>
      </c>
      <c r="M134" s="258"/>
      <c r="N134" s="251"/>
      <c r="O134" s="1487"/>
      <c r="P134" s="1487"/>
    </row>
    <row r="135" spans="1:33" s="14433" customFormat="1" ht="18.75" hidden="1" customHeight="1">
      <c r="A135" s="1642"/>
      <c r="B135" s="1642"/>
      <c r="C135" s="284" t="s">
        <v>1201</v>
      </c>
      <c r="D135" s="16273"/>
      <c r="E135" s="16079"/>
      <c r="F135" s="16217"/>
      <c r="G135" s="16245"/>
      <c r="H135" s="1371"/>
      <c r="I135" s="553" t="s">
        <v>1200</v>
      </c>
      <c r="J135" s="477"/>
      <c r="K135" s="1371"/>
      <c r="L135" s="136"/>
      <c r="M135" s="258"/>
      <c r="N135" s="251"/>
      <c r="O135" s="1487"/>
      <c r="P135" s="1487"/>
    </row>
    <row r="136" spans="1:33" s="14433" customFormat="1" ht="0.75" hidden="1" customHeight="1">
      <c r="A136" s="1642"/>
      <c r="B136" s="1642"/>
      <c r="C136" s="284" t="s">
        <v>1208</v>
      </c>
      <c r="D136" s="16273"/>
      <c r="E136" s="16079"/>
      <c r="F136" s="16217"/>
      <c r="G136" s="315"/>
      <c r="H136" s="1371"/>
      <c r="I136" s="553"/>
      <c r="J136" s="477"/>
      <c r="K136" s="1371"/>
      <c r="L136" s="136"/>
      <c r="M136" s="258"/>
      <c r="N136" s="251"/>
      <c r="O136" s="1487"/>
      <c r="P136" s="1487"/>
    </row>
    <row r="137" spans="1:33" s="14433" customFormat="1" ht="18.75" hidden="1" customHeight="1">
      <c r="A137" s="1642" t="s">
        <v>397</v>
      </c>
      <c r="B137" s="1642" t="s">
        <v>398</v>
      </c>
      <c r="C137" s="284"/>
      <c r="D137" s="16273"/>
      <c r="E137" s="16079"/>
      <c r="F137" s="16217" t="str">
        <f>INDEX(PT_DIFFERENTIATION_VTAR,MATCH(A137,PT_DIFFERENTIATION_VTAR_ID,0))</f>
        <v>Тариф на подключение (технологическое присоединение) к централизованной системе горячего водоснабжения</v>
      </c>
      <c r="G137" s="16245" t="str">
        <f>INDEX(PT_DIFFERENTIATION_NTAR,MATCH(B137,PT_DIFFERENTIATION_NTAR_ID,0))</f>
        <v/>
      </c>
      <c r="H137" s="1723"/>
      <c r="I137" s="1601"/>
      <c r="J137" s="1635"/>
      <c r="K137" s="1640"/>
      <c r="L137" s="1723" t="s">
        <v>443</v>
      </c>
      <c r="M137" s="258"/>
      <c r="N137" s="251"/>
      <c r="O137" s="1487"/>
      <c r="P137" s="1487"/>
    </row>
    <row r="138" spans="1:33" s="14433" customFormat="1" ht="18.75" hidden="1" customHeight="1">
      <c r="A138" s="1642"/>
      <c r="B138" s="1642"/>
      <c r="C138" s="284" t="s">
        <v>1201</v>
      </c>
      <c r="D138" s="16273"/>
      <c r="E138" s="16079"/>
      <c r="F138" s="16217"/>
      <c r="G138" s="16245"/>
      <c r="H138" s="1371"/>
      <c r="I138" s="553" t="s">
        <v>1200</v>
      </c>
      <c r="J138" s="477"/>
      <c r="K138" s="1371"/>
      <c r="L138" s="136"/>
      <c r="M138" s="258"/>
      <c r="N138" s="251"/>
      <c r="O138" s="1487"/>
      <c r="P138" s="1487"/>
    </row>
    <row r="139" spans="1:33" s="14433" customFormat="1" ht="0.75" hidden="1" customHeight="1">
      <c r="A139" s="1642"/>
      <c r="B139" s="1642"/>
      <c r="C139" s="284" t="s">
        <v>1208</v>
      </c>
      <c r="D139" s="16273"/>
      <c r="E139" s="16079"/>
      <c r="F139" s="16217"/>
      <c r="G139" s="315"/>
      <c r="H139" s="1371"/>
      <c r="I139" s="553"/>
      <c r="J139" s="477"/>
      <c r="K139" s="1371"/>
      <c r="L139" s="136"/>
      <c r="M139" s="258"/>
      <c r="N139" s="251"/>
      <c r="O139" s="1487"/>
      <c r="P139" s="1487"/>
    </row>
    <row r="140" spans="1:33" s="14433" customFormat="1" ht="18.75" hidden="1" customHeight="1">
      <c r="A140" s="1642" t="s">
        <v>402</v>
      </c>
      <c r="B140" s="1642" t="s">
        <v>403</v>
      </c>
      <c r="C140" s="284"/>
      <c r="D140" s="16273"/>
      <c r="E140" s="16079"/>
      <c r="F140" s="16217" t="str">
        <f>INDEX(PT_DIFFERENTIATION_VTAR,MATCH(A140,PT_DIFFERENTIATION_VTAR_ID,0))</f>
        <v>Тариф на водоотведение</v>
      </c>
      <c r="G140" s="16245" t="str">
        <f>INDEX(PT_DIFFERENTIATION_NTAR,MATCH(B140,PT_DIFFERENTIATION_NTAR_ID,0))</f>
        <v/>
      </c>
      <c r="H140" s="1723"/>
      <c r="I140" s="1601"/>
      <c r="J140" s="1635"/>
      <c r="K140" s="1640"/>
      <c r="L140" s="1723" t="s">
        <v>443</v>
      </c>
      <c r="M140" s="258"/>
      <c r="N140" s="251"/>
      <c r="O140" s="1487"/>
      <c r="P140" s="1487"/>
    </row>
    <row r="141" spans="1:33" s="14433" customFormat="1" ht="18.75" hidden="1" customHeight="1">
      <c r="A141" s="1642"/>
      <c r="B141" s="1642"/>
      <c r="C141" s="284" t="s">
        <v>1201</v>
      </c>
      <c r="D141" s="16273"/>
      <c r="E141" s="16079"/>
      <c r="F141" s="16217"/>
      <c r="G141" s="16245"/>
      <c r="H141" s="1371"/>
      <c r="I141" s="553" t="s">
        <v>1200</v>
      </c>
      <c r="J141" s="477"/>
      <c r="K141" s="1371"/>
      <c r="L141" s="136"/>
      <c r="M141" s="258"/>
      <c r="N141" s="251"/>
      <c r="O141" s="1487"/>
      <c r="P141" s="1487"/>
    </row>
    <row r="142" spans="1:33" s="14433" customFormat="1" ht="0.75" hidden="1" customHeight="1">
      <c r="A142" s="1642"/>
      <c r="B142" s="1642"/>
      <c r="C142" s="284" t="s">
        <v>1208</v>
      </c>
      <c r="D142" s="16273"/>
      <c r="E142" s="16079"/>
      <c r="F142" s="16217"/>
      <c r="G142" s="315"/>
      <c r="H142" s="1371"/>
      <c r="I142" s="553"/>
      <c r="J142" s="477"/>
      <c r="K142" s="1371"/>
      <c r="L142" s="136"/>
      <c r="M142" s="258"/>
      <c r="N142" s="251"/>
      <c r="O142" s="1487"/>
      <c r="P142" s="1487"/>
    </row>
    <row r="143" spans="1:33" s="14433" customFormat="1" ht="18.75" hidden="1" customHeight="1">
      <c r="A143" s="1642" t="s">
        <v>407</v>
      </c>
      <c r="B143" s="1642" t="s">
        <v>408</v>
      </c>
      <c r="C143" s="284"/>
      <c r="D143" s="16273"/>
      <c r="E143" s="16079"/>
      <c r="F143" s="16217" t="str">
        <f>INDEX(PT_DIFFERENTIATION_VTAR,MATCH(A143,PT_DIFFERENTIATION_VTAR_ID,0))</f>
        <v>Тариф на транспортировку сточных вод</v>
      </c>
      <c r="G143" s="16245" t="str">
        <f>INDEX(PT_DIFFERENTIATION_NTAR,MATCH(B143,PT_DIFFERENTIATION_NTAR_ID,0))</f>
        <v/>
      </c>
      <c r="H143" s="1723"/>
      <c r="I143" s="1601"/>
      <c r="J143" s="1635"/>
      <c r="K143" s="1640"/>
      <c r="L143" s="1723" t="s">
        <v>443</v>
      </c>
      <c r="M143" s="258"/>
      <c r="N143" s="251"/>
      <c r="O143" s="1487"/>
      <c r="P143" s="1487"/>
    </row>
    <row r="144" spans="1:33" s="14433" customFormat="1" ht="18.75" hidden="1" customHeight="1">
      <c r="A144" s="1642"/>
      <c r="B144" s="1642"/>
      <c r="C144" s="284" t="s">
        <v>1201</v>
      </c>
      <c r="D144" s="16273"/>
      <c r="E144" s="16079"/>
      <c r="F144" s="16217"/>
      <c r="G144" s="16245"/>
      <c r="H144" s="1371"/>
      <c r="I144" s="553" t="s">
        <v>1200</v>
      </c>
      <c r="J144" s="477"/>
      <c r="K144" s="1371"/>
      <c r="L144" s="136"/>
      <c r="M144" s="258"/>
      <c r="N144" s="251"/>
      <c r="O144" s="1487"/>
      <c r="P144" s="1487"/>
    </row>
    <row r="145" spans="1:16" s="14433" customFormat="1" ht="0.75" hidden="1" customHeight="1">
      <c r="A145" s="1642"/>
      <c r="B145" s="1642"/>
      <c r="C145" s="284" t="s">
        <v>1208</v>
      </c>
      <c r="D145" s="16273"/>
      <c r="E145" s="16079"/>
      <c r="F145" s="16217"/>
      <c r="G145" s="315"/>
      <c r="H145" s="1371"/>
      <c r="I145" s="553"/>
      <c r="J145" s="477"/>
      <c r="K145" s="1371"/>
      <c r="L145" s="136"/>
      <c r="M145" s="258"/>
      <c r="N145" s="251"/>
      <c r="O145" s="1487"/>
      <c r="P145" s="1487"/>
    </row>
    <row r="146" spans="1:16" s="14433" customFormat="1" ht="18.75" hidden="1" customHeight="1">
      <c r="A146" s="1642" t="s">
        <v>412</v>
      </c>
      <c r="B146" s="1642" t="s">
        <v>413</v>
      </c>
      <c r="C146" s="284"/>
      <c r="D146" s="16273"/>
      <c r="E146" s="16079"/>
      <c r="F146" s="16217" t="str">
        <f>INDEX(PT_DIFFERENTIATION_VTAR,MATCH(A146,PT_DIFFERENTIATION_VTAR_ID,0))</f>
        <v>Тариф на подключение (технологическое присоединение) к централизованной системе водоотведения</v>
      </c>
      <c r="G146" s="16245" t="str">
        <f>INDEX(PT_DIFFERENTIATION_NTAR,MATCH(B146,PT_DIFFERENTIATION_NTAR_ID,0))</f>
        <v/>
      </c>
      <c r="H146" s="1723"/>
      <c r="I146" s="1601"/>
      <c r="J146" s="1635"/>
      <c r="K146" s="1640"/>
      <c r="L146" s="1723" t="s">
        <v>443</v>
      </c>
      <c r="M146" s="258"/>
      <c r="N146" s="251"/>
      <c r="O146" s="1487"/>
      <c r="P146" s="1487"/>
    </row>
    <row r="147" spans="1:16" s="14433" customFormat="1" ht="18.75" hidden="1" customHeight="1">
      <c r="A147" s="1642"/>
      <c r="B147" s="1642"/>
      <c r="C147" s="284" t="s">
        <v>1201</v>
      </c>
      <c r="D147" s="16273"/>
      <c r="E147" s="16079"/>
      <c r="F147" s="16217"/>
      <c r="G147" s="16245"/>
      <c r="H147" s="1371"/>
      <c r="I147" s="553" t="s">
        <v>1200</v>
      </c>
      <c r="J147" s="477"/>
      <c r="K147" s="1371"/>
      <c r="L147" s="136"/>
      <c r="M147" s="258"/>
      <c r="N147" s="251"/>
      <c r="O147" s="1487"/>
      <c r="P147" s="1487"/>
    </row>
    <row r="148" spans="1:16" s="14433" customFormat="1" ht="0.75" customHeight="1">
      <c r="A148" s="1642"/>
      <c r="B148" s="1642"/>
      <c r="C148" s="284" t="s">
        <v>1208</v>
      </c>
      <c r="D148" s="16273"/>
      <c r="E148" s="16079"/>
      <c r="F148" s="16217"/>
      <c r="G148" s="315"/>
      <c r="H148" s="1371"/>
      <c r="I148" s="553"/>
      <c r="J148" s="477"/>
      <c r="K148" s="1371"/>
      <c r="L148" s="136"/>
      <c r="M148" s="258"/>
      <c r="N148" s="251"/>
      <c r="O148" s="1487"/>
      <c r="P148" s="1487"/>
    </row>
    <row r="149" spans="1:16" ht="18.75" customHeight="1">
      <c r="A149" s="1642"/>
      <c r="B149" s="1642"/>
      <c r="D149" s="291"/>
      <c r="E149" s="73" t="s">
        <v>90</v>
      </c>
      <c r="F149" s="162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16272"/>
      <c r="H149" s="16272"/>
      <c r="I149" s="16272"/>
      <c r="J149" s="16272"/>
      <c r="K149" s="16272"/>
      <c r="L149" s="16272"/>
      <c r="M149" s="214"/>
      <c r="N149" s="251"/>
    </row>
    <row r="150" spans="1:16" s="14433" customFormat="1" ht="60.75" hidden="1" customHeight="1">
      <c r="A150" s="1642" t="s">
        <v>186</v>
      </c>
      <c r="B150" s="1642" t="s">
        <v>187</v>
      </c>
      <c r="C150" s="284"/>
      <c r="D150" s="16273"/>
      <c r="E150" s="16079"/>
      <c r="F150" s="16217"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16245" t="str">
        <f>INDEX(PT_DIFFERENTIATION_NTAR,MATCH(B150,PT_DIFFERENTIATION_NTAR_ID,0))</f>
        <v/>
      </c>
      <c r="H150" s="1723"/>
      <c r="I150" s="1601"/>
      <c r="J150" s="1635"/>
      <c r="K150" s="1640"/>
      <c r="L150" s="1723" t="s">
        <v>443</v>
      </c>
      <c r="M150" s="16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251"/>
      <c r="O150" s="1487"/>
      <c r="P150" s="1487"/>
    </row>
    <row r="151" spans="1:16" s="14433" customFormat="1" ht="18.75" hidden="1" customHeight="1">
      <c r="A151" s="1642"/>
      <c r="B151" s="1642"/>
      <c r="C151" s="284" t="s">
        <v>1201</v>
      </c>
      <c r="D151" s="16273"/>
      <c r="E151" s="16079"/>
      <c r="F151" s="16217"/>
      <c r="G151" s="16245"/>
      <c r="H151" s="1371"/>
      <c r="I151" s="553" t="s">
        <v>1200</v>
      </c>
      <c r="J151" s="477"/>
      <c r="K151" s="1371"/>
      <c r="L151" s="136"/>
      <c r="M151" s="16033"/>
      <c r="N151" s="251"/>
      <c r="O151" s="1487"/>
      <c r="P151" s="1487"/>
    </row>
    <row r="152" spans="1:16" s="14433" customFormat="1" ht="0.75" hidden="1" customHeight="1">
      <c r="A152" s="1642"/>
      <c r="B152" s="1642"/>
      <c r="C152" s="284" t="s">
        <v>1208</v>
      </c>
      <c r="D152" s="16273"/>
      <c r="E152" s="16079"/>
      <c r="F152" s="16217"/>
      <c r="G152" s="315"/>
      <c r="H152" s="1371"/>
      <c r="I152" s="553"/>
      <c r="J152" s="477"/>
      <c r="K152" s="1371"/>
      <c r="L152" s="136"/>
      <c r="M152" s="16033"/>
      <c r="N152" s="251"/>
      <c r="O152" s="1487"/>
      <c r="P152" s="1487"/>
    </row>
    <row r="153" spans="1:16" s="14433" customFormat="1" ht="45" hidden="1" customHeight="1">
      <c r="A153" s="1642" t="s">
        <v>192</v>
      </c>
      <c r="B153" s="1642" t="s">
        <v>193</v>
      </c>
      <c r="C153" s="284"/>
      <c r="D153" s="16273"/>
      <c r="E153" s="16079"/>
      <c r="F153" s="16217"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16245" t="str">
        <f>INDEX(PT_DIFFERENTIATION_NTAR,MATCH(B153,PT_DIFFERENTIATION_NTAR_ID,0))</f>
        <v/>
      </c>
      <c r="H153" s="1723"/>
      <c r="I153" s="1601"/>
      <c r="J153" s="1635"/>
      <c r="K153" s="1640"/>
      <c r="L153" s="1723" t="s">
        <v>443</v>
      </c>
      <c r="M153" s="16034"/>
      <c r="N153" s="251"/>
      <c r="O153" s="1487"/>
      <c r="P153" s="1487"/>
    </row>
    <row r="154" spans="1:16" s="14433" customFormat="1" ht="18.75" hidden="1" customHeight="1">
      <c r="A154" s="1642"/>
      <c r="B154" s="1642"/>
      <c r="C154" s="284" t="s">
        <v>1201</v>
      </c>
      <c r="D154" s="16273"/>
      <c r="E154" s="16079"/>
      <c r="F154" s="16217"/>
      <c r="G154" s="16245"/>
      <c r="H154" s="1371"/>
      <c r="I154" s="553" t="s">
        <v>1200</v>
      </c>
      <c r="J154" s="477"/>
      <c r="K154" s="1371"/>
      <c r="L154" s="136"/>
      <c r="M154" s="1722"/>
      <c r="N154" s="251"/>
      <c r="O154" s="1487"/>
      <c r="P154" s="1487"/>
    </row>
    <row r="155" spans="1:16" s="14433" customFormat="1" ht="0.75" hidden="1" customHeight="1">
      <c r="A155" s="1642"/>
      <c r="B155" s="1642"/>
      <c r="C155" s="284" t="s">
        <v>1208</v>
      </c>
      <c r="D155" s="16273"/>
      <c r="E155" s="16079"/>
      <c r="F155" s="16217"/>
      <c r="G155" s="315"/>
      <c r="H155" s="1371"/>
      <c r="I155" s="553"/>
      <c r="J155" s="477"/>
      <c r="K155" s="1371"/>
      <c r="L155" s="136"/>
      <c r="M155" s="258"/>
      <c r="N155" s="251"/>
      <c r="O155" s="1487"/>
      <c r="P155" s="1487"/>
    </row>
    <row r="156" spans="1:16" s="14433" customFormat="1" ht="45" hidden="1" customHeight="1">
      <c r="A156" s="1642" t="s">
        <v>198</v>
      </c>
      <c r="B156" s="1642" t="s">
        <v>199</v>
      </c>
      <c r="C156" s="284"/>
      <c r="D156" s="16273"/>
      <c r="E156" s="16079"/>
      <c r="F156" s="16217"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16245" t="str">
        <f>INDEX(PT_DIFFERENTIATION_NTAR,MATCH(B156,PT_DIFFERENTIATION_NTAR_ID,0))</f>
        <v/>
      </c>
      <c r="H156" s="1723"/>
      <c r="I156" s="1601"/>
      <c r="J156" s="1635"/>
      <c r="K156" s="1640"/>
      <c r="L156" s="1723" t="s">
        <v>443</v>
      </c>
      <c r="M156" s="258"/>
      <c r="N156" s="251"/>
      <c r="O156" s="1487"/>
      <c r="P156" s="1487"/>
    </row>
    <row r="157" spans="1:16" s="14433" customFormat="1" ht="18.75" hidden="1" customHeight="1">
      <c r="A157" s="1642"/>
      <c r="B157" s="1642"/>
      <c r="C157" s="284" t="s">
        <v>1201</v>
      </c>
      <c r="D157" s="16273"/>
      <c r="E157" s="16079"/>
      <c r="F157" s="16217"/>
      <c r="G157" s="16245"/>
      <c r="H157" s="1371"/>
      <c r="I157" s="553" t="s">
        <v>1200</v>
      </c>
      <c r="J157" s="477"/>
      <c r="K157" s="1371"/>
      <c r="L157" s="136"/>
      <c r="M157" s="258"/>
      <c r="N157" s="251"/>
      <c r="O157" s="1487"/>
      <c r="P157" s="1487"/>
    </row>
    <row r="158" spans="1:16" s="14433" customFormat="1" ht="0.75" hidden="1" customHeight="1">
      <c r="A158" s="1642"/>
      <c r="B158" s="1642"/>
      <c r="C158" s="284" t="s">
        <v>1208</v>
      </c>
      <c r="D158" s="16273"/>
      <c r="E158" s="16079"/>
      <c r="F158" s="16217"/>
      <c r="G158" s="315"/>
      <c r="H158" s="1371"/>
      <c r="I158" s="553"/>
      <c r="J158" s="477"/>
      <c r="K158" s="1371"/>
      <c r="L158" s="136"/>
      <c r="M158" s="258"/>
      <c r="N158" s="251"/>
      <c r="O158" s="1487"/>
      <c r="P158" s="1487"/>
    </row>
    <row r="159" spans="1:16" s="14433" customFormat="1" ht="45" hidden="1" customHeight="1">
      <c r="A159" s="1642" t="s">
        <v>204</v>
      </c>
      <c r="B159" s="1642" t="s">
        <v>205</v>
      </c>
      <c r="C159" s="284"/>
      <c r="D159" s="16273"/>
      <c r="E159" s="16079"/>
      <c r="F159" s="16217"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16245" t="str">
        <f>INDEX(PT_DIFFERENTIATION_NTAR,MATCH(B159,PT_DIFFERENTIATION_NTAR_ID,0))</f>
        <v/>
      </c>
      <c r="H159" s="1723"/>
      <c r="I159" s="1601"/>
      <c r="J159" s="1635"/>
      <c r="K159" s="1640"/>
      <c r="L159" s="1723" t="s">
        <v>443</v>
      </c>
      <c r="M159" s="258"/>
      <c r="N159" s="251"/>
      <c r="O159" s="1487"/>
      <c r="P159" s="1487"/>
    </row>
    <row r="160" spans="1:16" s="14433" customFormat="1" ht="18.75" hidden="1" customHeight="1">
      <c r="A160" s="1642"/>
      <c r="B160" s="1642"/>
      <c r="C160" s="284" t="s">
        <v>1201</v>
      </c>
      <c r="D160" s="16273"/>
      <c r="E160" s="16079"/>
      <c r="F160" s="16217"/>
      <c r="G160" s="16245"/>
      <c r="H160" s="1371"/>
      <c r="I160" s="553" t="s">
        <v>1200</v>
      </c>
      <c r="J160" s="477"/>
      <c r="K160" s="1371"/>
      <c r="L160" s="136"/>
      <c r="M160" s="258"/>
      <c r="N160" s="251"/>
      <c r="O160" s="1487"/>
      <c r="P160" s="1487"/>
    </row>
    <row r="161" spans="1:16" s="14433" customFormat="1" ht="0.75" hidden="1" customHeight="1">
      <c r="A161" s="1642"/>
      <c r="B161" s="1642"/>
      <c r="C161" s="284" t="s">
        <v>1208</v>
      </c>
      <c r="D161" s="16273"/>
      <c r="E161" s="16079"/>
      <c r="F161" s="16217"/>
      <c r="G161" s="315"/>
      <c r="H161" s="1371"/>
      <c r="I161" s="553"/>
      <c r="J161" s="477"/>
      <c r="K161" s="1371"/>
      <c r="L161" s="136"/>
      <c r="M161" s="258"/>
      <c r="N161" s="251"/>
      <c r="O161" s="1487"/>
      <c r="P161" s="1487"/>
    </row>
    <row r="162" spans="1:16" s="14433" customFormat="1" ht="18.75" hidden="1" customHeight="1">
      <c r="A162" s="1642" t="s">
        <v>210</v>
      </c>
      <c r="B162" s="1642" t="s">
        <v>211</v>
      </c>
      <c r="C162" s="284"/>
      <c r="D162" s="16273"/>
      <c r="E162" s="16079"/>
      <c r="F162" s="16217" t="str">
        <f>INDEX(PT_DIFFERENTIATION_VTAR,MATCH(A162,PT_DIFFERENTIATION_VTAR_ID,0))</f>
        <v>Тарифы на услуги по передаче тепловой энергии</v>
      </c>
      <c r="G162" s="16245" t="str">
        <f>INDEX(PT_DIFFERENTIATION_NTAR,MATCH(B162,PT_DIFFERENTIATION_NTAR_ID,0))</f>
        <v/>
      </c>
      <c r="H162" s="1723"/>
      <c r="I162" s="1601"/>
      <c r="J162" s="1635"/>
      <c r="K162" s="1640"/>
      <c r="L162" s="1723" t="s">
        <v>443</v>
      </c>
      <c r="M162" s="258"/>
      <c r="N162" s="251"/>
      <c r="O162" s="1487"/>
      <c r="P162" s="1487"/>
    </row>
    <row r="163" spans="1:16" s="14433" customFormat="1" ht="18.75" hidden="1" customHeight="1">
      <c r="A163" s="1642"/>
      <c r="B163" s="1642"/>
      <c r="C163" s="284" t="s">
        <v>1201</v>
      </c>
      <c r="D163" s="16273"/>
      <c r="E163" s="16079"/>
      <c r="F163" s="16217"/>
      <c r="G163" s="16245"/>
      <c r="H163" s="1371"/>
      <c r="I163" s="553" t="s">
        <v>1200</v>
      </c>
      <c r="J163" s="477"/>
      <c r="K163" s="1371"/>
      <c r="L163" s="136"/>
      <c r="M163" s="258"/>
      <c r="N163" s="251"/>
      <c r="O163" s="1487"/>
      <c r="P163" s="1487"/>
    </row>
    <row r="164" spans="1:16" s="14433" customFormat="1" ht="0.75" hidden="1" customHeight="1">
      <c r="A164" s="1642"/>
      <c r="B164" s="1642"/>
      <c r="C164" s="284" t="s">
        <v>1208</v>
      </c>
      <c r="D164" s="16273"/>
      <c r="E164" s="16079"/>
      <c r="F164" s="16217"/>
      <c r="G164" s="315"/>
      <c r="H164" s="1371"/>
      <c r="I164" s="553"/>
      <c r="J164" s="477"/>
      <c r="K164" s="1371"/>
      <c r="L164" s="136"/>
      <c r="M164" s="258"/>
      <c r="N164" s="251"/>
      <c r="O164" s="1487"/>
      <c r="P164" s="1487"/>
    </row>
    <row r="165" spans="1:16" s="14433" customFormat="1" ht="18.75" hidden="1" customHeight="1">
      <c r="A165" s="1642" t="s">
        <v>216</v>
      </c>
      <c r="B165" s="1642" t="s">
        <v>217</v>
      </c>
      <c r="C165" s="284"/>
      <c r="D165" s="16273"/>
      <c r="E165" s="16079"/>
      <c r="F165" s="16217" t="str">
        <f>INDEX(PT_DIFFERENTIATION_VTAR,MATCH(A165,PT_DIFFERENTIATION_VTAR_ID,0))</f>
        <v>Тарифы на услуги по передаче теплоносителя</v>
      </c>
      <c r="G165" s="16245" t="str">
        <f>INDEX(PT_DIFFERENTIATION_NTAR,MATCH(B165,PT_DIFFERENTIATION_NTAR_ID,0))</f>
        <v/>
      </c>
      <c r="H165" s="1723"/>
      <c r="I165" s="1601"/>
      <c r="J165" s="1635"/>
      <c r="K165" s="1640"/>
      <c r="L165" s="1723" t="s">
        <v>443</v>
      </c>
      <c r="M165" s="258"/>
      <c r="N165" s="251"/>
      <c r="O165" s="1487"/>
      <c r="P165" s="1487"/>
    </row>
    <row r="166" spans="1:16" s="14433" customFormat="1" ht="18.75" hidden="1" customHeight="1">
      <c r="A166" s="1642"/>
      <c r="B166" s="1642"/>
      <c r="C166" s="284" t="s">
        <v>1201</v>
      </c>
      <c r="D166" s="16273"/>
      <c r="E166" s="16079"/>
      <c r="F166" s="16217"/>
      <c r="G166" s="16245"/>
      <c r="H166" s="1371"/>
      <c r="I166" s="553" t="s">
        <v>1200</v>
      </c>
      <c r="J166" s="477"/>
      <c r="K166" s="1371"/>
      <c r="L166" s="136"/>
      <c r="M166" s="258"/>
      <c r="N166" s="251"/>
      <c r="O166" s="1487"/>
      <c r="P166" s="1487"/>
    </row>
    <row r="167" spans="1:16" s="14433" customFormat="1" ht="0.75" hidden="1" customHeight="1">
      <c r="A167" s="1642"/>
      <c r="B167" s="1642"/>
      <c r="C167" s="284" t="s">
        <v>1208</v>
      </c>
      <c r="D167" s="16273"/>
      <c r="E167" s="16079"/>
      <c r="F167" s="16217"/>
      <c r="G167" s="315"/>
      <c r="H167" s="1371"/>
      <c r="I167" s="553"/>
      <c r="J167" s="477"/>
      <c r="K167" s="1371"/>
      <c r="L167" s="136"/>
      <c r="M167" s="258"/>
      <c r="N167" s="251"/>
      <c r="O167" s="1487"/>
      <c r="P167" s="1487"/>
    </row>
    <row r="168" spans="1:16" s="14433" customFormat="1" ht="18.75" hidden="1" customHeight="1">
      <c r="A168" s="1642" t="s">
        <v>222</v>
      </c>
      <c r="B168" s="1642" t="s">
        <v>223</v>
      </c>
      <c r="C168" s="284"/>
      <c r="D168" s="16273"/>
      <c r="E168" s="16079"/>
      <c r="F168" s="16217" t="str">
        <f>INDEX(PT_DIFFERENTIATION_VTAR,MATCH(A168,PT_DIFFERENTIATION_VTAR_ID,0))</f>
        <v>Плата за услуги по поддержанию резервной тепловой мощности при отсутствии потребления тепловой энергии</v>
      </c>
      <c r="G168" s="16245" t="str">
        <f>INDEX(PT_DIFFERENTIATION_NTAR,MATCH(B168,PT_DIFFERENTIATION_NTAR_ID,0))</f>
        <v/>
      </c>
      <c r="H168" s="1723"/>
      <c r="I168" s="1601"/>
      <c r="J168" s="1635"/>
      <c r="K168" s="1640"/>
      <c r="L168" s="1723" t="s">
        <v>443</v>
      </c>
      <c r="M168" s="258"/>
      <c r="N168" s="251"/>
      <c r="O168" s="1487"/>
      <c r="P168" s="1487"/>
    </row>
    <row r="169" spans="1:16" s="14433" customFormat="1" ht="18.75" hidden="1" customHeight="1">
      <c r="A169" s="1642"/>
      <c r="B169" s="1642"/>
      <c r="C169" s="284" t="s">
        <v>1201</v>
      </c>
      <c r="D169" s="16273"/>
      <c r="E169" s="16079"/>
      <c r="F169" s="16217"/>
      <c r="G169" s="16245"/>
      <c r="H169" s="1371"/>
      <c r="I169" s="553" t="s">
        <v>1200</v>
      </c>
      <c r="J169" s="477"/>
      <c r="K169" s="1371"/>
      <c r="L169" s="136"/>
      <c r="M169" s="258"/>
      <c r="N169" s="251"/>
      <c r="O169" s="1487"/>
      <c r="P169" s="1487"/>
    </row>
    <row r="170" spans="1:16" s="14433" customFormat="1" ht="0.75" hidden="1" customHeight="1">
      <c r="A170" s="1642"/>
      <c r="B170" s="1642"/>
      <c r="C170" s="284" t="s">
        <v>1208</v>
      </c>
      <c r="D170" s="16273"/>
      <c r="E170" s="16079"/>
      <c r="F170" s="16217"/>
      <c r="G170" s="315"/>
      <c r="H170" s="1371"/>
      <c r="I170" s="553"/>
      <c r="J170" s="477"/>
      <c r="K170" s="1371"/>
      <c r="L170" s="136"/>
      <c r="M170" s="258"/>
      <c r="N170" s="251"/>
      <c r="O170" s="1487"/>
      <c r="P170" s="1487"/>
    </row>
    <row r="171" spans="1:16" s="14433" customFormat="1" ht="18.75" hidden="1" customHeight="1">
      <c r="A171" s="1642" t="s">
        <v>228</v>
      </c>
      <c r="B171" s="1642" t="s">
        <v>229</v>
      </c>
      <c r="C171" s="284"/>
      <c r="D171" s="16273"/>
      <c r="E171" s="16079"/>
      <c r="F171" s="16217" t="str">
        <f>INDEX(PT_DIFFERENTIATION_VTAR,MATCH(A171,PT_DIFFERENTIATION_VTAR_ID,0))</f>
        <v>Плата за подключение (технологическое присоединение) к системе теплоснабжения</v>
      </c>
      <c r="G171" s="16245" t="str">
        <f>INDEX(PT_DIFFERENTIATION_NTAR,MATCH(B171,PT_DIFFERENTIATION_NTAR_ID,0))</f>
        <v/>
      </c>
      <c r="H171" s="1723"/>
      <c r="I171" s="1601"/>
      <c r="J171" s="1635"/>
      <c r="K171" s="1640"/>
      <c r="L171" s="1723" t="s">
        <v>443</v>
      </c>
      <c r="M171" s="258"/>
      <c r="N171" s="251"/>
      <c r="O171" s="1487"/>
      <c r="P171" s="1487"/>
    </row>
    <row r="172" spans="1:16" s="14433" customFormat="1" ht="18.75" hidden="1" customHeight="1">
      <c r="A172" s="1642"/>
      <c r="B172" s="1642"/>
      <c r="C172" s="284" t="s">
        <v>1201</v>
      </c>
      <c r="D172" s="16273"/>
      <c r="E172" s="16079"/>
      <c r="F172" s="16217"/>
      <c r="G172" s="16245"/>
      <c r="H172" s="1371"/>
      <c r="I172" s="553" t="s">
        <v>1200</v>
      </c>
      <c r="J172" s="477"/>
      <c r="K172" s="1371"/>
      <c r="L172" s="136"/>
      <c r="M172" s="258"/>
      <c r="N172" s="251"/>
      <c r="O172" s="1487"/>
      <c r="P172" s="1487"/>
    </row>
    <row r="173" spans="1:16" s="14433" customFormat="1" ht="0.75" hidden="1" customHeight="1">
      <c r="A173" s="1642"/>
      <c r="B173" s="1642"/>
      <c r="C173" s="284" t="s">
        <v>1208</v>
      </c>
      <c r="D173" s="16273"/>
      <c r="E173" s="16079"/>
      <c r="F173" s="16217"/>
      <c r="G173" s="315"/>
      <c r="H173" s="1371"/>
      <c r="I173" s="553"/>
      <c r="J173" s="477"/>
      <c r="K173" s="1371"/>
      <c r="L173" s="136"/>
      <c r="M173" s="258"/>
      <c r="N173" s="251"/>
      <c r="O173" s="1487"/>
      <c r="P173" s="1487"/>
    </row>
    <row r="174" spans="1:16" s="14433" customFormat="1" ht="18.75" hidden="1" customHeight="1">
      <c r="A174" s="1642" t="s">
        <v>254</v>
      </c>
      <c r="B174" s="1642" t="s">
        <v>255</v>
      </c>
      <c r="C174" s="284"/>
      <c r="D174" s="16273"/>
      <c r="E174" s="16079"/>
      <c r="F174" s="16217" t="str">
        <f>INDEX(PT_DIFFERENTIATION_VTAR,MATCH(A174,PT_DIFFERENTIATION_VTAR_ID,0))</f>
        <v>Тариф на питьевую воду (питьевое водоснабжение)</v>
      </c>
      <c r="G174" s="16245" t="str">
        <f>INDEX(PT_DIFFERENTIATION_NTAR,MATCH(B174,PT_DIFFERENTIATION_NTAR_ID,0))</f>
        <v/>
      </c>
      <c r="H174" s="1723"/>
      <c r="I174" s="1601"/>
      <c r="J174" s="1635"/>
      <c r="K174" s="1640"/>
      <c r="L174" s="1723" t="s">
        <v>443</v>
      </c>
      <c r="M174" s="258"/>
      <c r="N174" s="251"/>
      <c r="O174" s="1487"/>
      <c r="P174" s="1487"/>
    </row>
    <row r="175" spans="1:16" s="14433" customFormat="1" ht="18.75" hidden="1" customHeight="1">
      <c r="A175" s="1642"/>
      <c r="B175" s="1642"/>
      <c r="C175" s="284" t="s">
        <v>1201</v>
      </c>
      <c r="D175" s="16273"/>
      <c r="E175" s="16079"/>
      <c r="F175" s="16217"/>
      <c r="G175" s="16245"/>
      <c r="H175" s="1371"/>
      <c r="I175" s="553" t="s">
        <v>1200</v>
      </c>
      <c r="J175" s="477"/>
      <c r="K175" s="1371"/>
      <c r="L175" s="136"/>
      <c r="M175" s="258"/>
      <c r="N175" s="251"/>
      <c r="O175" s="1487"/>
      <c r="P175" s="1487"/>
    </row>
    <row r="176" spans="1:16" s="14433" customFormat="1" ht="0.75" hidden="1" customHeight="1">
      <c r="A176" s="1642"/>
      <c r="B176" s="1642"/>
      <c r="C176" s="284" t="s">
        <v>1208</v>
      </c>
      <c r="D176" s="16273"/>
      <c r="E176" s="16079"/>
      <c r="F176" s="16217"/>
      <c r="G176" s="315"/>
      <c r="H176" s="1371"/>
      <c r="I176" s="553"/>
      <c r="J176" s="477"/>
      <c r="K176" s="1371"/>
      <c r="L176" s="136"/>
      <c r="M176" s="258"/>
      <c r="N176" s="251"/>
      <c r="O176" s="1487"/>
      <c r="P176" s="1487"/>
    </row>
    <row r="177" spans="1:33" s="14433" customFormat="1" ht="18.75" hidden="1" customHeight="1">
      <c r="A177" s="1642" t="s">
        <v>259</v>
      </c>
      <c r="B177" s="1642" t="s">
        <v>260</v>
      </c>
      <c r="C177" s="284"/>
      <c r="D177" s="16273"/>
      <c r="E177" s="16079"/>
      <c r="F177" s="16217" t="str">
        <f>INDEX(PT_DIFFERENTIATION_VTAR,MATCH(A177,PT_DIFFERENTIATION_VTAR_ID,0))</f>
        <v>Тариф на техническую воду</v>
      </c>
      <c r="G177" s="16245" t="str">
        <f>INDEX(PT_DIFFERENTIATION_NTAR,MATCH(B177,PT_DIFFERENTIATION_NTAR_ID,0))</f>
        <v/>
      </c>
      <c r="H177" s="1723"/>
      <c r="I177" s="1601"/>
      <c r="J177" s="1635"/>
      <c r="K177" s="1640"/>
      <c r="L177" s="1723" t="s">
        <v>443</v>
      </c>
      <c r="M177" s="258"/>
      <c r="N177" s="251"/>
      <c r="O177" s="1487"/>
      <c r="P177" s="1487"/>
    </row>
    <row r="178" spans="1:33" s="14433" customFormat="1" ht="18.75" hidden="1" customHeight="1">
      <c r="A178" s="1642"/>
      <c r="B178" s="1642"/>
      <c r="C178" s="284" t="s">
        <v>1201</v>
      </c>
      <c r="D178" s="16273"/>
      <c r="E178" s="16079"/>
      <c r="F178" s="16217"/>
      <c r="G178" s="16245"/>
      <c r="H178" s="1371"/>
      <c r="I178" s="553" t="s">
        <v>1200</v>
      </c>
      <c r="J178" s="477"/>
      <c r="K178" s="1371"/>
      <c r="L178" s="136"/>
      <c r="M178" s="258"/>
      <c r="N178" s="251"/>
      <c r="O178" s="1487"/>
      <c r="P178" s="1487"/>
    </row>
    <row r="179" spans="1:33" s="14433" customFormat="1" ht="0.75" hidden="1" customHeight="1">
      <c r="A179" s="1642"/>
      <c r="B179" s="1642"/>
      <c r="C179" s="284" t="s">
        <v>1208</v>
      </c>
      <c r="D179" s="16273"/>
      <c r="E179" s="16079"/>
      <c r="F179" s="16217"/>
      <c r="G179" s="315"/>
      <c r="H179" s="1371"/>
      <c r="I179" s="553"/>
      <c r="J179" s="477"/>
      <c r="K179" s="1371"/>
      <c r="L179" s="136"/>
      <c r="M179" s="258"/>
      <c r="N179" s="251"/>
      <c r="O179" s="1487"/>
      <c r="P179" s="1487"/>
    </row>
    <row r="180" spans="1:33" s="14433" customFormat="1" ht="18.75" hidden="1" customHeight="1">
      <c r="A180" s="1642" t="s">
        <v>264</v>
      </c>
      <c r="B180" s="1642" t="s">
        <v>265</v>
      </c>
      <c r="C180" s="284"/>
      <c r="D180" s="16273"/>
      <c r="E180" s="16079"/>
      <c r="F180" s="16217" t="str">
        <f>INDEX(PT_DIFFERENTIATION_VTAR,MATCH(A180,PT_DIFFERENTIATION_VTAR_ID,0))</f>
        <v>Тариф на транспортировку воды</v>
      </c>
      <c r="G180" s="16245" t="str">
        <f>INDEX(PT_DIFFERENTIATION_NTAR,MATCH(B180,PT_DIFFERENTIATION_NTAR_ID,0))</f>
        <v/>
      </c>
      <c r="H180" s="1723"/>
      <c r="I180" s="1601"/>
      <c r="J180" s="1635"/>
      <c r="K180" s="1640"/>
      <c r="L180" s="1723" t="s">
        <v>443</v>
      </c>
      <c r="M180" s="258"/>
      <c r="N180" s="251"/>
      <c r="O180" s="1487"/>
      <c r="P180" s="1487"/>
    </row>
    <row r="181" spans="1:33" s="14433" customFormat="1" ht="18.75" hidden="1" customHeight="1">
      <c r="A181" s="1642"/>
      <c r="B181" s="1642"/>
      <c r="C181" s="284" t="s">
        <v>1201</v>
      </c>
      <c r="D181" s="16273"/>
      <c r="E181" s="16079"/>
      <c r="F181" s="16217"/>
      <c r="G181" s="16245"/>
      <c r="H181" s="1371"/>
      <c r="I181" s="553" t="s">
        <v>1200</v>
      </c>
      <c r="J181" s="477"/>
      <c r="K181" s="1371"/>
      <c r="L181" s="136"/>
      <c r="M181" s="258"/>
      <c r="N181" s="251"/>
      <c r="O181" s="1487"/>
      <c r="P181" s="1487"/>
    </row>
    <row r="182" spans="1:33" s="14433" customFormat="1" ht="0.75" hidden="1" customHeight="1">
      <c r="A182" s="1642"/>
      <c r="B182" s="1642"/>
      <c r="C182" s="284" t="s">
        <v>1208</v>
      </c>
      <c r="D182" s="16273"/>
      <c r="E182" s="16079"/>
      <c r="F182" s="16217"/>
      <c r="G182" s="315"/>
      <c r="H182" s="1371"/>
      <c r="I182" s="553"/>
      <c r="J182" s="477"/>
      <c r="K182" s="1371"/>
      <c r="L182" s="136"/>
      <c r="M182" s="258"/>
      <c r="N182" s="251"/>
      <c r="O182" s="1487"/>
      <c r="P182" s="1487"/>
    </row>
    <row r="183" spans="1:33" s="14433" customFormat="1" ht="18.75" hidden="1" customHeight="1">
      <c r="A183" s="1642" t="s">
        <v>269</v>
      </c>
      <c r="B183" s="1642" t="s">
        <v>270</v>
      </c>
      <c r="C183" s="284"/>
      <c r="D183" s="16273"/>
      <c r="E183" s="16079"/>
      <c r="F183" s="16217" t="str">
        <f>INDEX(PT_DIFFERENTIATION_VTAR,MATCH(A183,PT_DIFFERENTIATION_VTAR_ID,0))</f>
        <v>Тариф на подвоз воды</v>
      </c>
      <c r="G183" s="16245" t="str">
        <f>INDEX(PT_DIFFERENTIATION_NTAR,MATCH(B183,PT_DIFFERENTIATION_NTAR_ID,0))</f>
        <v/>
      </c>
      <c r="H183" s="1723"/>
      <c r="I183" s="1601"/>
      <c r="J183" s="1635"/>
      <c r="K183" s="1640"/>
      <c r="L183" s="1723" t="s">
        <v>443</v>
      </c>
      <c r="M183" s="258"/>
      <c r="N183" s="251"/>
      <c r="O183" s="1487"/>
      <c r="P183" s="1487"/>
    </row>
    <row r="184" spans="1:33" s="14433" customFormat="1" ht="18.75" hidden="1" customHeight="1">
      <c r="A184" s="1642"/>
      <c r="B184" s="1642"/>
      <c r="C184" s="284" t="s">
        <v>1201</v>
      </c>
      <c r="D184" s="16273"/>
      <c r="E184" s="16079"/>
      <c r="F184" s="16217"/>
      <c r="G184" s="16245"/>
      <c r="H184" s="1371"/>
      <c r="I184" s="553" t="s">
        <v>1200</v>
      </c>
      <c r="J184" s="477"/>
      <c r="K184" s="1371"/>
      <c r="L184" s="136"/>
      <c r="M184" s="258"/>
      <c r="N184" s="251"/>
      <c r="O184" s="1487"/>
      <c r="P184" s="1487"/>
    </row>
    <row r="185" spans="1:33" s="14433" customFormat="1" ht="0.75" hidden="1" customHeight="1">
      <c r="A185" s="1642"/>
      <c r="B185" s="1642"/>
      <c r="C185" s="284" t="s">
        <v>1208</v>
      </c>
      <c r="D185" s="16273"/>
      <c r="E185" s="16079"/>
      <c r="F185" s="16217"/>
      <c r="G185" s="315"/>
      <c r="H185" s="1371"/>
      <c r="I185" s="553"/>
      <c r="J185" s="477"/>
      <c r="K185" s="1371"/>
      <c r="L185" s="136"/>
      <c r="M185" s="258"/>
      <c r="N185" s="251"/>
      <c r="O185" s="1487"/>
      <c r="P185" s="1487"/>
    </row>
    <row r="186" spans="1:33" s="14433" customFormat="1" ht="18.75" hidden="1" customHeight="1">
      <c r="A186" s="1642" t="s">
        <v>274</v>
      </c>
      <c r="B186" s="1642" t="s">
        <v>275</v>
      </c>
      <c r="C186" s="284"/>
      <c r="D186" s="16273"/>
      <c r="E186" s="16079"/>
      <c r="F186" s="16217" t="str">
        <f>INDEX(PT_DIFFERENTIATION_VTAR,MATCH(A186,PT_DIFFERENTIATION_VTAR_ID,0))</f>
        <v>Тариф на подключение (технологическое присоединение) к централизованной системе холодного водоснабжения</v>
      </c>
      <c r="G186" s="16245" t="str">
        <f>INDEX(PT_DIFFERENTIATION_NTAR,MATCH(B186,PT_DIFFERENTIATION_NTAR_ID,0))</f>
        <v/>
      </c>
      <c r="H186" s="1723"/>
      <c r="I186" s="1601"/>
      <c r="J186" s="1635"/>
      <c r="K186" s="1640"/>
      <c r="L186" s="1723" t="s">
        <v>443</v>
      </c>
      <c r="M186" s="258"/>
      <c r="N186" s="251"/>
      <c r="O186" s="1487"/>
      <c r="P186" s="1487"/>
    </row>
    <row r="187" spans="1:33" s="14433" customFormat="1" ht="18.75" hidden="1" customHeight="1">
      <c r="A187" s="1642"/>
      <c r="B187" s="1642"/>
      <c r="C187" s="284" t="s">
        <v>1201</v>
      </c>
      <c r="D187" s="16273"/>
      <c r="E187" s="16079"/>
      <c r="F187" s="16217"/>
      <c r="G187" s="16245"/>
      <c r="H187" s="1371"/>
      <c r="I187" s="553" t="s">
        <v>1200</v>
      </c>
      <c r="J187" s="477"/>
      <c r="K187" s="1371"/>
      <c r="L187" s="136"/>
      <c r="M187" s="258"/>
      <c r="N187" s="251"/>
      <c r="O187" s="1487"/>
      <c r="P187" s="1487"/>
    </row>
    <row r="188" spans="1:33" s="14433" customFormat="1" ht="0.75" hidden="1" customHeight="1">
      <c r="A188" s="1642"/>
      <c r="B188" s="1642"/>
      <c r="C188" s="284" t="s">
        <v>1208</v>
      </c>
      <c r="D188" s="16273"/>
      <c r="E188" s="16079"/>
      <c r="F188" s="16217"/>
      <c r="G188" s="315"/>
      <c r="H188" s="1371"/>
      <c r="I188" s="553"/>
      <c r="J188" s="477"/>
      <c r="K188" s="1371"/>
      <c r="L188" s="136"/>
      <c r="M188" s="258"/>
      <c r="N188" s="251"/>
      <c r="O188" s="1487"/>
      <c r="P188" s="1487"/>
    </row>
    <row r="189" spans="1:33" s="14433" customFormat="1" ht="18.75" hidden="1" customHeight="1">
      <c r="A189" s="1642" t="s">
        <v>283</v>
      </c>
      <c r="B189" s="1642" t="s">
        <v>284</v>
      </c>
      <c r="C189" s="284"/>
      <c r="D189" s="16273"/>
      <c r="E189" s="16079"/>
      <c r="F189" s="16217" t="str">
        <f>INDEX(PT_DIFFERENTIATION_VTAR,MATCH(A189,PT_DIFFERENTIATION_VTAR_ID,0))</f>
        <v>Тариф на горячую воду (горячее водоснабжение)</v>
      </c>
      <c r="G189" s="16245" t="str">
        <f>INDEX(PT_DIFFERENTIATION_NTAR,MATCH(B189,PT_DIFFERENTIATION_NTAR_ID,0))</f>
        <v>Тариф на горячую воду в закрытой системе горячего водоснабжения, поставляемую группе потребителей "население"</v>
      </c>
      <c r="H189" s="1723"/>
      <c r="I189" s="1601"/>
      <c r="J189" s="1635"/>
      <c r="K189" s="1640"/>
      <c r="L189" s="1723" t="s">
        <v>443</v>
      </c>
      <c r="M189" s="258"/>
      <c r="N189" s="251"/>
      <c r="O189" s="1487"/>
      <c r="P189" s="1487"/>
    </row>
    <row r="190" spans="1:33" s="14433" customFormat="1" ht="18.75" hidden="1" customHeight="1">
      <c r="A190" s="1642"/>
      <c r="B190" s="1642"/>
      <c r="C190" s="284" t="s">
        <v>1201</v>
      </c>
      <c r="D190" s="16273"/>
      <c r="E190" s="16079"/>
      <c r="F190" s="16217"/>
      <c r="G190" s="16245"/>
      <c r="H190" s="1371"/>
      <c r="I190" s="553" t="s">
        <v>1200</v>
      </c>
      <c r="J190" s="477"/>
      <c r="K190" s="1371"/>
      <c r="L190" s="136"/>
      <c r="M190" s="258"/>
      <c r="N190" s="251"/>
      <c r="O190" s="1487"/>
      <c r="P190" s="1487"/>
    </row>
    <row r="191" spans="1:33" s="15891" customFormat="1" ht="18.75" customHeight="1">
      <c r="A191" s="2775" t="s">
        <v>283</v>
      </c>
      <c r="B191" s="2775" t="s">
        <v>329</v>
      </c>
      <c r="C191" s="10455"/>
      <c r="D191" s="16274"/>
      <c r="E191" s="16275"/>
      <c r="F191" s="16275"/>
      <c r="G191" s="16245" t="str">
        <f>INDEX(PT_DIFFERENTIATION_NTAR,MATCH(B191,PT_DIFFERENTIATION_NTAR_ID,0))</f>
        <v>Тариф на горячую воду в закрытой системе горячего водоснабжения, поставляемую потребителям</v>
      </c>
      <c r="H191" s="2202"/>
      <c r="I191" s="10456"/>
      <c r="J191" s="10457"/>
      <c r="K191" s="10466"/>
      <c r="L191" s="2202" t="s">
        <v>443</v>
      </c>
      <c r="M191" s="10459"/>
      <c r="N191" s="10460"/>
      <c r="O191" s="2512"/>
      <c r="P191" s="2512"/>
      <c r="Q191" s="1892"/>
      <c r="R191" s="1892"/>
      <c r="S191" s="1892"/>
      <c r="T191" s="1892"/>
      <c r="U191" s="1892"/>
      <c r="V191" s="1892"/>
      <c r="W191" s="1892"/>
      <c r="X191" s="1892"/>
      <c r="Y191" s="1892"/>
      <c r="Z191" s="1892"/>
      <c r="AA191" s="1892"/>
      <c r="AB191" s="1892"/>
      <c r="AC191" s="1892"/>
      <c r="AD191" s="1892"/>
      <c r="AE191" s="1892"/>
      <c r="AF191" s="1892"/>
      <c r="AG191" s="1892"/>
    </row>
    <row r="192" spans="1:33" s="15891" customFormat="1" ht="18.75" customHeight="1">
      <c r="A192" s="2775"/>
      <c r="B192" s="2775"/>
      <c r="C192" s="10455" t="s">
        <v>1201</v>
      </c>
      <c r="D192" s="16274"/>
      <c r="E192" s="16275"/>
      <c r="F192" s="16275"/>
      <c r="G192" s="16245"/>
      <c r="H192" s="10472"/>
      <c r="I192" s="10473" t="s">
        <v>1200</v>
      </c>
      <c r="J192" s="10474"/>
      <c r="K192" s="10475"/>
      <c r="L192" s="10476"/>
      <c r="M192" s="10459"/>
      <c r="N192" s="10460"/>
      <c r="O192" s="2512"/>
      <c r="P192" s="2512"/>
      <c r="Q192" s="1892"/>
      <c r="R192" s="1892"/>
      <c r="S192" s="1892"/>
      <c r="T192" s="1892"/>
      <c r="U192" s="1892"/>
      <c r="V192" s="1892"/>
      <c r="W192" s="1892"/>
      <c r="X192" s="1892"/>
      <c r="Y192" s="1892"/>
      <c r="Z192" s="1892"/>
      <c r="AA192" s="1892"/>
      <c r="AB192" s="1892"/>
      <c r="AC192" s="1892"/>
      <c r="AD192" s="1892"/>
      <c r="AE192" s="1892"/>
      <c r="AF192" s="1892"/>
      <c r="AG192" s="1892"/>
    </row>
    <row r="193" spans="1:33" s="15893" customFormat="1" ht="18.75" customHeight="1">
      <c r="A193" s="10494" t="s">
        <v>283</v>
      </c>
      <c r="B193" s="10494" t="s">
        <v>360</v>
      </c>
      <c r="C193" s="14302"/>
      <c r="D193" s="16274"/>
      <c r="E193" s="16275"/>
      <c r="F193" s="16275"/>
      <c r="G193" s="16245" t="str">
        <f>INDEX(PT_DIFFERENTIATION_NTAR,MATCH(B193,PT_DIFFERENTIATION_NTAR_ID,0))</f>
        <v>Тариф на горячую воду в закрытой системе горячего водоснабжения, поставляемую группе потребителей "потребители (кроме населения)"</v>
      </c>
      <c r="H193" s="14303"/>
      <c r="I193" s="14304"/>
      <c r="J193" s="14305"/>
      <c r="K193" s="14315"/>
      <c r="L193" s="14303" t="s">
        <v>443</v>
      </c>
      <c r="M193" s="14307"/>
      <c r="N193" s="14308"/>
      <c r="O193" s="10501"/>
      <c r="P193" s="10501"/>
      <c r="Q193" s="14309"/>
      <c r="R193" s="14309"/>
      <c r="S193" s="14309"/>
      <c r="T193" s="14309"/>
      <c r="U193" s="14309"/>
      <c r="V193" s="14309"/>
      <c r="W193" s="14309"/>
      <c r="X193" s="14309"/>
      <c r="Y193" s="14309"/>
      <c r="Z193" s="14309"/>
      <c r="AA193" s="14309"/>
      <c r="AB193" s="14309"/>
      <c r="AC193" s="14309"/>
      <c r="AD193" s="14309"/>
      <c r="AE193" s="14309"/>
      <c r="AF193" s="14309"/>
      <c r="AG193" s="14309"/>
    </row>
    <row r="194" spans="1:33" s="15893" customFormat="1" ht="18.75" customHeight="1">
      <c r="A194" s="10494"/>
      <c r="B194" s="10494"/>
      <c r="C194" s="14302" t="s">
        <v>1201</v>
      </c>
      <c r="D194" s="16274"/>
      <c r="E194" s="16275"/>
      <c r="F194" s="16275"/>
      <c r="G194" s="16245"/>
      <c r="H194" s="14321"/>
      <c r="I194" s="14322" t="s">
        <v>1200</v>
      </c>
      <c r="J194" s="14323"/>
      <c r="K194" s="14324"/>
      <c r="L194" s="14325"/>
      <c r="M194" s="14307"/>
      <c r="N194" s="14308"/>
      <c r="O194" s="10501"/>
      <c r="P194" s="10501"/>
      <c r="Q194" s="14309"/>
      <c r="R194" s="14309"/>
      <c r="S194" s="14309"/>
      <c r="T194" s="14309"/>
      <c r="U194" s="14309"/>
      <c r="V194" s="14309"/>
      <c r="W194" s="14309"/>
      <c r="X194" s="14309"/>
      <c r="Y194" s="14309"/>
      <c r="Z194" s="14309"/>
      <c r="AA194" s="14309"/>
      <c r="AB194" s="14309"/>
      <c r="AC194" s="14309"/>
      <c r="AD194" s="14309"/>
      <c r="AE194" s="14309"/>
      <c r="AF194" s="14309"/>
      <c r="AG194" s="14309"/>
    </row>
    <row r="195" spans="1:33" s="14433" customFormat="1" ht="0.75" hidden="1" customHeight="1">
      <c r="A195" s="1642"/>
      <c r="B195" s="1642"/>
      <c r="C195" s="284" t="s">
        <v>1208</v>
      </c>
      <c r="D195" s="16273"/>
      <c r="E195" s="16079"/>
      <c r="F195" s="16217"/>
      <c r="G195" s="315"/>
      <c r="H195" s="1371"/>
      <c r="I195" s="553"/>
      <c r="J195" s="477"/>
      <c r="K195" s="1371"/>
      <c r="L195" s="136"/>
      <c r="M195" s="258"/>
      <c r="N195" s="251"/>
      <c r="O195" s="1487"/>
      <c r="P195" s="1487"/>
    </row>
    <row r="196" spans="1:33" s="14433" customFormat="1" ht="18.75" hidden="1" customHeight="1">
      <c r="A196" s="1642" t="s">
        <v>392</v>
      </c>
      <c r="B196" s="1642" t="s">
        <v>393</v>
      </c>
      <c r="C196" s="284"/>
      <c r="D196" s="16273"/>
      <c r="E196" s="16079"/>
      <c r="F196" s="16217" t="str">
        <f>INDEX(PT_DIFFERENTIATION_VTAR,MATCH(A196,PT_DIFFERENTIATION_VTAR_ID,0))</f>
        <v>Тариф на транспортировку горячей воды</v>
      </c>
      <c r="G196" s="16245" t="str">
        <f>INDEX(PT_DIFFERENTIATION_NTAR,MATCH(B196,PT_DIFFERENTIATION_NTAR_ID,0))</f>
        <v/>
      </c>
      <c r="H196" s="1723"/>
      <c r="I196" s="1601"/>
      <c r="J196" s="1635"/>
      <c r="K196" s="1640"/>
      <c r="L196" s="1723" t="s">
        <v>443</v>
      </c>
      <c r="M196" s="258"/>
      <c r="N196" s="251"/>
      <c r="O196" s="1487"/>
      <c r="P196" s="1487"/>
    </row>
    <row r="197" spans="1:33" s="14433" customFormat="1" ht="18.75" hidden="1" customHeight="1">
      <c r="A197" s="1642"/>
      <c r="B197" s="1642"/>
      <c r="C197" s="284" t="s">
        <v>1201</v>
      </c>
      <c r="D197" s="16273"/>
      <c r="E197" s="16079"/>
      <c r="F197" s="16217"/>
      <c r="G197" s="16245"/>
      <c r="H197" s="1371"/>
      <c r="I197" s="553" t="s">
        <v>1200</v>
      </c>
      <c r="J197" s="477"/>
      <c r="K197" s="1371"/>
      <c r="L197" s="136"/>
      <c r="M197" s="258"/>
      <c r="N197" s="251"/>
      <c r="O197" s="1487"/>
      <c r="P197" s="1487"/>
    </row>
    <row r="198" spans="1:33" s="14433" customFormat="1" ht="0.75" hidden="1" customHeight="1">
      <c r="A198" s="1642"/>
      <c r="B198" s="1642"/>
      <c r="C198" s="284" t="s">
        <v>1208</v>
      </c>
      <c r="D198" s="16273"/>
      <c r="E198" s="16079"/>
      <c r="F198" s="16217"/>
      <c r="G198" s="315"/>
      <c r="H198" s="1371"/>
      <c r="I198" s="553"/>
      <c r="J198" s="477"/>
      <c r="K198" s="1371"/>
      <c r="L198" s="136"/>
      <c r="M198" s="258"/>
      <c r="N198" s="251"/>
      <c r="O198" s="1487"/>
      <c r="P198" s="1487"/>
    </row>
    <row r="199" spans="1:33" s="14433" customFormat="1" ht="18.75" hidden="1" customHeight="1">
      <c r="A199" s="1642" t="s">
        <v>397</v>
      </c>
      <c r="B199" s="1642" t="s">
        <v>398</v>
      </c>
      <c r="C199" s="284"/>
      <c r="D199" s="16273"/>
      <c r="E199" s="16079"/>
      <c r="F199" s="16217" t="str">
        <f>INDEX(PT_DIFFERENTIATION_VTAR,MATCH(A199,PT_DIFFERENTIATION_VTAR_ID,0))</f>
        <v>Тариф на подключение (технологическое присоединение) к централизованной системе горячего водоснабжения</v>
      </c>
      <c r="G199" s="16245" t="str">
        <f>INDEX(PT_DIFFERENTIATION_NTAR,MATCH(B199,PT_DIFFERENTIATION_NTAR_ID,0))</f>
        <v/>
      </c>
      <c r="H199" s="1723"/>
      <c r="I199" s="1601"/>
      <c r="J199" s="1635"/>
      <c r="K199" s="1640"/>
      <c r="L199" s="1723" t="s">
        <v>443</v>
      </c>
      <c r="M199" s="258"/>
      <c r="N199" s="251"/>
      <c r="O199" s="1487"/>
      <c r="P199" s="1487"/>
    </row>
    <row r="200" spans="1:33" s="14433" customFormat="1" ht="18.75" hidden="1" customHeight="1">
      <c r="A200" s="1642"/>
      <c r="B200" s="1642"/>
      <c r="C200" s="284" t="s">
        <v>1201</v>
      </c>
      <c r="D200" s="16273"/>
      <c r="E200" s="16079"/>
      <c r="F200" s="16217"/>
      <c r="G200" s="16245"/>
      <c r="H200" s="1371"/>
      <c r="I200" s="553" t="s">
        <v>1200</v>
      </c>
      <c r="J200" s="477"/>
      <c r="K200" s="1371"/>
      <c r="L200" s="136"/>
      <c r="M200" s="258"/>
      <c r="N200" s="251"/>
      <c r="O200" s="1487"/>
      <c r="P200" s="1487"/>
    </row>
    <row r="201" spans="1:33" s="14433" customFormat="1" ht="0.75" hidden="1" customHeight="1">
      <c r="A201" s="1642"/>
      <c r="B201" s="1642"/>
      <c r="C201" s="284" t="s">
        <v>1208</v>
      </c>
      <c r="D201" s="16273"/>
      <c r="E201" s="16079"/>
      <c r="F201" s="16217"/>
      <c r="G201" s="315"/>
      <c r="H201" s="1371"/>
      <c r="I201" s="553"/>
      <c r="J201" s="477"/>
      <c r="K201" s="1371"/>
      <c r="L201" s="136"/>
      <c r="M201" s="258"/>
      <c r="N201" s="251"/>
      <c r="O201" s="1487"/>
      <c r="P201" s="1487"/>
    </row>
    <row r="202" spans="1:33" s="14433" customFormat="1" ht="18.75" hidden="1" customHeight="1">
      <c r="A202" s="1642" t="s">
        <v>402</v>
      </c>
      <c r="B202" s="1642" t="s">
        <v>403</v>
      </c>
      <c r="C202" s="284"/>
      <c r="D202" s="16273"/>
      <c r="E202" s="16079"/>
      <c r="F202" s="16217" t="str">
        <f>INDEX(PT_DIFFERENTIATION_VTAR,MATCH(A202,PT_DIFFERENTIATION_VTAR_ID,0))</f>
        <v>Тариф на водоотведение</v>
      </c>
      <c r="G202" s="16245" t="str">
        <f>INDEX(PT_DIFFERENTIATION_NTAR,MATCH(B202,PT_DIFFERENTIATION_NTAR_ID,0))</f>
        <v/>
      </c>
      <c r="H202" s="1723"/>
      <c r="I202" s="1601"/>
      <c r="J202" s="1635"/>
      <c r="K202" s="1640"/>
      <c r="L202" s="1723" t="s">
        <v>443</v>
      </c>
      <c r="M202" s="258"/>
      <c r="N202" s="251"/>
      <c r="O202" s="1487"/>
      <c r="P202" s="1487"/>
    </row>
    <row r="203" spans="1:33" s="14433" customFormat="1" ht="18.75" hidden="1" customHeight="1">
      <c r="A203" s="1642"/>
      <c r="B203" s="1642"/>
      <c r="C203" s="284" t="s">
        <v>1201</v>
      </c>
      <c r="D203" s="16273"/>
      <c r="E203" s="16079"/>
      <c r="F203" s="16217"/>
      <c r="G203" s="16245"/>
      <c r="H203" s="1371"/>
      <c r="I203" s="553" t="s">
        <v>1200</v>
      </c>
      <c r="J203" s="477"/>
      <c r="K203" s="1371"/>
      <c r="L203" s="136"/>
      <c r="M203" s="258"/>
      <c r="N203" s="251"/>
      <c r="O203" s="1487"/>
      <c r="P203" s="1487"/>
    </row>
    <row r="204" spans="1:33" s="14433" customFormat="1" ht="0.75" hidden="1" customHeight="1">
      <c r="A204" s="1642"/>
      <c r="B204" s="1642"/>
      <c r="C204" s="284" t="s">
        <v>1208</v>
      </c>
      <c r="D204" s="16273"/>
      <c r="E204" s="16079"/>
      <c r="F204" s="16217"/>
      <c r="G204" s="315"/>
      <c r="H204" s="1371"/>
      <c r="I204" s="553"/>
      <c r="J204" s="477"/>
      <c r="K204" s="1371"/>
      <c r="L204" s="136"/>
      <c r="M204" s="258"/>
      <c r="N204" s="251"/>
      <c r="O204" s="1487"/>
      <c r="P204" s="1487"/>
    </row>
    <row r="205" spans="1:33" s="14433" customFormat="1" ht="18.75" hidden="1" customHeight="1">
      <c r="A205" s="1642" t="s">
        <v>407</v>
      </c>
      <c r="B205" s="1642" t="s">
        <v>408</v>
      </c>
      <c r="C205" s="284"/>
      <c r="D205" s="16273"/>
      <c r="E205" s="16079"/>
      <c r="F205" s="16217" t="str">
        <f>INDEX(PT_DIFFERENTIATION_VTAR,MATCH(A205,PT_DIFFERENTIATION_VTAR_ID,0))</f>
        <v>Тариф на транспортировку сточных вод</v>
      </c>
      <c r="G205" s="16245" t="str">
        <f>INDEX(PT_DIFFERENTIATION_NTAR,MATCH(B205,PT_DIFFERENTIATION_NTAR_ID,0))</f>
        <v/>
      </c>
      <c r="H205" s="1723"/>
      <c r="I205" s="1601"/>
      <c r="J205" s="1635"/>
      <c r="K205" s="1640"/>
      <c r="L205" s="1723" t="s">
        <v>443</v>
      </c>
      <c r="M205" s="258"/>
      <c r="N205" s="251"/>
      <c r="O205" s="1487"/>
      <c r="P205" s="1487"/>
    </row>
    <row r="206" spans="1:33" s="14433" customFormat="1" ht="18.75" hidden="1" customHeight="1">
      <c r="A206" s="1642"/>
      <c r="B206" s="1642"/>
      <c r="C206" s="284" t="s">
        <v>1201</v>
      </c>
      <c r="D206" s="16273"/>
      <c r="E206" s="16079"/>
      <c r="F206" s="16217"/>
      <c r="G206" s="16245"/>
      <c r="H206" s="1371"/>
      <c r="I206" s="553" t="s">
        <v>1200</v>
      </c>
      <c r="J206" s="477"/>
      <c r="K206" s="1371"/>
      <c r="L206" s="136"/>
      <c r="M206" s="258"/>
      <c r="N206" s="251"/>
      <c r="O206" s="1487"/>
      <c r="P206" s="1487"/>
    </row>
    <row r="207" spans="1:33" s="14433" customFormat="1" ht="0.75" hidden="1" customHeight="1">
      <c r="A207" s="1642"/>
      <c r="B207" s="1642"/>
      <c r="C207" s="284" t="s">
        <v>1208</v>
      </c>
      <c r="D207" s="16273"/>
      <c r="E207" s="16079"/>
      <c r="F207" s="16217"/>
      <c r="G207" s="315"/>
      <c r="H207" s="1371"/>
      <c r="I207" s="553"/>
      <c r="J207" s="477"/>
      <c r="K207" s="1371"/>
      <c r="L207" s="136"/>
      <c r="M207" s="258"/>
      <c r="N207" s="251"/>
      <c r="O207" s="1487"/>
      <c r="P207" s="1487"/>
    </row>
    <row r="208" spans="1:33" s="14433" customFormat="1" ht="18.75" hidden="1" customHeight="1">
      <c r="A208" s="1642" t="s">
        <v>412</v>
      </c>
      <c r="B208" s="1642" t="s">
        <v>413</v>
      </c>
      <c r="C208" s="284"/>
      <c r="D208" s="16273"/>
      <c r="E208" s="16079"/>
      <c r="F208" s="16217" t="str">
        <f>INDEX(PT_DIFFERENTIATION_VTAR,MATCH(A208,PT_DIFFERENTIATION_VTAR_ID,0))</f>
        <v>Тариф на подключение (технологическое присоединение) к централизованной системе водоотведения</v>
      </c>
      <c r="G208" s="16245" t="str">
        <f>INDEX(PT_DIFFERENTIATION_NTAR,MATCH(B208,PT_DIFFERENTIATION_NTAR_ID,0))</f>
        <v/>
      </c>
      <c r="H208" s="1723"/>
      <c r="I208" s="1601"/>
      <c r="J208" s="1635"/>
      <c r="K208" s="1640"/>
      <c r="L208" s="1723" t="s">
        <v>443</v>
      </c>
      <c r="M208" s="258"/>
      <c r="N208" s="251"/>
      <c r="O208" s="1487"/>
      <c r="P208" s="1487"/>
    </row>
    <row r="209" spans="1:16" s="14433" customFormat="1" ht="18.75" hidden="1" customHeight="1">
      <c r="A209" s="1642"/>
      <c r="B209" s="1642"/>
      <c r="C209" s="284" t="s">
        <v>1201</v>
      </c>
      <c r="D209" s="16273"/>
      <c r="E209" s="16079"/>
      <c r="F209" s="16217"/>
      <c r="G209" s="16245"/>
      <c r="H209" s="1371"/>
      <c r="I209" s="553" t="s">
        <v>1200</v>
      </c>
      <c r="J209" s="477"/>
      <c r="K209" s="1371"/>
      <c r="L209" s="136"/>
      <c r="M209" s="258"/>
      <c r="N209" s="251"/>
      <c r="O209" s="1487"/>
      <c r="P209" s="1487"/>
    </row>
    <row r="210" spans="1:16" s="14433" customFormat="1" ht="0.75" customHeight="1">
      <c r="A210" s="1642"/>
      <c r="B210" s="1642"/>
      <c r="C210" s="284" t="s">
        <v>1208</v>
      </c>
      <c r="D210" s="16273"/>
      <c r="E210" s="16079"/>
      <c r="F210" s="16217"/>
      <c r="G210" s="315"/>
      <c r="H210" s="1371"/>
      <c r="I210" s="553"/>
      <c r="J210" s="477"/>
      <c r="K210" s="1371"/>
      <c r="L210" s="136"/>
      <c r="M210" s="258"/>
      <c r="N210" s="251"/>
      <c r="O210" s="1487"/>
      <c r="P210" s="1487"/>
    </row>
    <row r="211" spans="1:16" ht="26.25" customHeight="1">
      <c r="A211" s="1642"/>
      <c r="B211" s="1642"/>
      <c r="D211" s="291"/>
      <c r="E211" s="73" t="s">
        <v>117</v>
      </c>
      <c r="F211" s="162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1" s="16272"/>
      <c r="H211" s="16272"/>
      <c r="I211" s="16272"/>
      <c r="J211" s="16272"/>
      <c r="K211" s="16272"/>
      <c r="L211" s="16272"/>
      <c r="M211" s="214"/>
      <c r="N211" s="251"/>
    </row>
    <row r="212" spans="1:16" s="14433" customFormat="1" ht="60.75" hidden="1" customHeight="1">
      <c r="A212" s="1642" t="s">
        <v>186</v>
      </c>
      <c r="B212" s="1642" t="s">
        <v>187</v>
      </c>
      <c r="C212" s="284"/>
      <c r="D212" s="16273"/>
      <c r="E212" s="16079"/>
      <c r="F212" s="16217"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16245" t="str">
        <f>INDEX(PT_DIFFERENTIATION_NTAR,MATCH(B212,PT_DIFFERENTIATION_NTAR_ID,0))</f>
        <v/>
      </c>
      <c r="H212" s="1723"/>
      <c r="I212" s="1601"/>
      <c r="J212" s="1635"/>
      <c r="K212" s="1640"/>
      <c r="L212" s="1723" t="s">
        <v>443</v>
      </c>
      <c r="M212" s="16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2" s="251"/>
      <c r="O212" s="1487"/>
      <c r="P212" s="1487"/>
    </row>
    <row r="213" spans="1:16" s="14433" customFormat="1" ht="18.75" hidden="1" customHeight="1">
      <c r="A213" s="1642"/>
      <c r="B213" s="1642"/>
      <c r="C213" s="284" t="s">
        <v>1201</v>
      </c>
      <c r="D213" s="16273"/>
      <c r="E213" s="16079"/>
      <c r="F213" s="16217"/>
      <c r="G213" s="16245"/>
      <c r="H213" s="1371"/>
      <c r="I213" s="553" t="s">
        <v>1200</v>
      </c>
      <c r="J213" s="477"/>
      <c r="K213" s="1371"/>
      <c r="L213" s="136"/>
      <c r="M213" s="16033"/>
      <c r="N213" s="251"/>
      <c r="O213" s="1487"/>
      <c r="P213" s="1487"/>
    </row>
    <row r="214" spans="1:16" s="14433" customFormat="1" ht="0.75" hidden="1" customHeight="1">
      <c r="A214" s="1642"/>
      <c r="B214" s="1642"/>
      <c r="C214" s="284" t="s">
        <v>1208</v>
      </c>
      <c r="D214" s="16273"/>
      <c r="E214" s="16079"/>
      <c r="F214" s="16217"/>
      <c r="G214" s="315"/>
      <c r="H214" s="1371"/>
      <c r="I214" s="553"/>
      <c r="J214" s="477"/>
      <c r="K214" s="1371"/>
      <c r="L214" s="136"/>
      <c r="M214" s="16033"/>
      <c r="N214" s="251"/>
      <c r="O214" s="1487"/>
      <c r="P214" s="1487"/>
    </row>
    <row r="215" spans="1:16" s="14433" customFormat="1" ht="45" hidden="1" customHeight="1">
      <c r="A215" s="1642" t="s">
        <v>192</v>
      </c>
      <c r="B215" s="1642" t="s">
        <v>193</v>
      </c>
      <c r="C215" s="284"/>
      <c r="D215" s="16273"/>
      <c r="E215" s="16079"/>
      <c r="F215" s="16217"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16245" t="str">
        <f>INDEX(PT_DIFFERENTIATION_NTAR,MATCH(B215,PT_DIFFERENTIATION_NTAR_ID,0))</f>
        <v/>
      </c>
      <c r="H215" s="1723"/>
      <c r="I215" s="1601"/>
      <c r="J215" s="1635"/>
      <c r="K215" s="1640"/>
      <c r="L215" s="1723" t="s">
        <v>443</v>
      </c>
      <c r="M215" s="16034"/>
      <c r="N215" s="251"/>
      <c r="O215" s="1487"/>
      <c r="P215" s="1487"/>
    </row>
    <row r="216" spans="1:16" s="14433" customFormat="1" ht="18.75" hidden="1" customHeight="1">
      <c r="A216" s="1642"/>
      <c r="B216" s="1642"/>
      <c r="C216" s="284" t="s">
        <v>1201</v>
      </c>
      <c r="D216" s="16273"/>
      <c r="E216" s="16079"/>
      <c r="F216" s="16217"/>
      <c r="G216" s="16245"/>
      <c r="H216" s="1371"/>
      <c r="I216" s="553" t="s">
        <v>1200</v>
      </c>
      <c r="J216" s="477"/>
      <c r="K216" s="1371"/>
      <c r="L216" s="136"/>
      <c r="M216" s="1722"/>
      <c r="N216" s="251"/>
      <c r="O216" s="1487"/>
      <c r="P216" s="1487"/>
    </row>
    <row r="217" spans="1:16" s="14433" customFormat="1" ht="0.75" hidden="1" customHeight="1">
      <c r="A217" s="1642"/>
      <c r="B217" s="1642"/>
      <c r="C217" s="284" t="s">
        <v>1208</v>
      </c>
      <c r="D217" s="16273"/>
      <c r="E217" s="16079"/>
      <c r="F217" s="16217"/>
      <c r="G217" s="315"/>
      <c r="H217" s="1371"/>
      <c r="I217" s="553"/>
      <c r="J217" s="477"/>
      <c r="K217" s="1371"/>
      <c r="L217" s="136"/>
      <c r="M217" s="258"/>
      <c r="N217" s="251"/>
      <c r="O217" s="1487"/>
      <c r="P217" s="1487"/>
    </row>
    <row r="218" spans="1:16" s="14433" customFormat="1" ht="45" hidden="1" customHeight="1">
      <c r="A218" s="1642" t="s">
        <v>198</v>
      </c>
      <c r="B218" s="1642" t="s">
        <v>199</v>
      </c>
      <c r="C218" s="284"/>
      <c r="D218" s="16273"/>
      <c r="E218" s="16079"/>
      <c r="F218" s="16217"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16245" t="str">
        <f>INDEX(PT_DIFFERENTIATION_NTAR,MATCH(B218,PT_DIFFERENTIATION_NTAR_ID,0))</f>
        <v/>
      </c>
      <c r="H218" s="1723"/>
      <c r="I218" s="1601"/>
      <c r="J218" s="1635"/>
      <c r="K218" s="1640"/>
      <c r="L218" s="1723" t="s">
        <v>443</v>
      </c>
      <c r="M218" s="258"/>
      <c r="N218" s="251"/>
      <c r="O218" s="1487"/>
      <c r="P218" s="1487"/>
    </row>
    <row r="219" spans="1:16" s="14433" customFormat="1" ht="18.75" hidden="1" customHeight="1">
      <c r="A219" s="1642"/>
      <c r="B219" s="1642"/>
      <c r="C219" s="284" t="s">
        <v>1201</v>
      </c>
      <c r="D219" s="16273"/>
      <c r="E219" s="16079"/>
      <c r="F219" s="16217"/>
      <c r="G219" s="16245"/>
      <c r="H219" s="1371"/>
      <c r="I219" s="553" t="s">
        <v>1200</v>
      </c>
      <c r="J219" s="477"/>
      <c r="K219" s="1371"/>
      <c r="L219" s="136"/>
      <c r="M219" s="258"/>
      <c r="N219" s="251"/>
      <c r="O219" s="1487"/>
      <c r="P219" s="1487"/>
    </row>
    <row r="220" spans="1:16" s="14433" customFormat="1" ht="0.75" hidden="1" customHeight="1">
      <c r="A220" s="1642"/>
      <c r="B220" s="1642"/>
      <c r="C220" s="284" t="s">
        <v>1208</v>
      </c>
      <c r="D220" s="16273"/>
      <c r="E220" s="16079"/>
      <c r="F220" s="16217"/>
      <c r="G220" s="315"/>
      <c r="H220" s="1371"/>
      <c r="I220" s="553"/>
      <c r="J220" s="477"/>
      <c r="K220" s="1371"/>
      <c r="L220" s="136"/>
      <c r="M220" s="258"/>
      <c r="N220" s="251"/>
      <c r="O220" s="1487"/>
      <c r="P220" s="1487"/>
    </row>
    <row r="221" spans="1:16" s="14433" customFormat="1" ht="45" hidden="1" customHeight="1">
      <c r="A221" s="1642" t="s">
        <v>204</v>
      </c>
      <c r="B221" s="1642" t="s">
        <v>205</v>
      </c>
      <c r="C221" s="284"/>
      <c r="D221" s="16273"/>
      <c r="E221" s="16079"/>
      <c r="F221" s="16217"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16245" t="str">
        <f>INDEX(PT_DIFFERENTIATION_NTAR,MATCH(B221,PT_DIFFERENTIATION_NTAR_ID,0))</f>
        <v/>
      </c>
      <c r="H221" s="1723"/>
      <c r="I221" s="1601"/>
      <c r="J221" s="1635"/>
      <c r="K221" s="1640"/>
      <c r="L221" s="1723" t="s">
        <v>443</v>
      </c>
      <c r="M221" s="258"/>
      <c r="N221" s="251"/>
      <c r="O221" s="1487"/>
      <c r="P221" s="1487"/>
    </row>
    <row r="222" spans="1:16" s="14433" customFormat="1" ht="18.75" hidden="1" customHeight="1">
      <c r="A222" s="1642"/>
      <c r="B222" s="1642"/>
      <c r="C222" s="284" t="s">
        <v>1201</v>
      </c>
      <c r="D222" s="16273"/>
      <c r="E222" s="16079"/>
      <c r="F222" s="16217"/>
      <c r="G222" s="16245"/>
      <c r="H222" s="1371"/>
      <c r="I222" s="553" t="s">
        <v>1200</v>
      </c>
      <c r="J222" s="477"/>
      <c r="K222" s="1371"/>
      <c r="L222" s="136"/>
      <c r="M222" s="258"/>
      <c r="N222" s="251"/>
      <c r="O222" s="1487"/>
      <c r="P222" s="1487"/>
    </row>
    <row r="223" spans="1:16" s="14433" customFormat="1" ht="0.75" hidden="1" customHeight="1">
      <c r="A223" s="1642"/>
      <c r="B223" s="1642"/>
      <c r="C223" s="284" t="s">
        <v>1208</v>
      </c>
      <c r="D223" s="16273"/>
      <c r="E223" s="16079"/>
      <c r="F223" s="16217"/>
      <c r="G223" s="315"/>
      <c r="H223" s="1371"/>
      <c r="I223" s="553"/>
      <c r="J223" s="477"/>
      <c r="K223" s="1371"/>
      <c r="L223" s="136"/>
      <c r="M223" s="258"/>
      <c r="N223" s="251"/>
      <c r="O223" s="1487"/>
      <c r="P223" s="1487"/>
    </row>
    <row r="224" spans="1:16" s="14433" customFormat="1" ht="18.75" hidden="1" customHeight="1">
      <c r="A224" s="1642" t="s">
        <v>210</v>
      </c>
      <c r="B224" s="1642" t="s">
        <v>211</v>
      </c>
      <c r="C224" s="284"/>
      <c r="D224" s="16273"/>
      <c r="E224" s="16079"/>
      <c r="F224" s="16217" t="str">
        <f>INDEX(PT_DIFFERENTIATION_VTAR,MATCH(A224,PT_DIFFERENTIATION_VTAR_ID,0))</f>
        <v>Тарифы на услуги по передаче тепловой энергии</v>
      </c>
      <c r="G224" s="16245" t="str">
        <f>INDEX(PT_DIFFERENTIATION_NTAR,MATCH(B224,PT_DIFFERENTIATION_NTAR_ID,0))</f>
        <v/>
      </c>
      <c r="H224" s="1723"/>
      <c r="I224" s="1601"/>
      <c r="J224" s="1635"/>
      <c r="K224" s="1640"/>
      <c r="L224" s="1723" t="s">
        <v>443</v>
      </c>
      <c r="M224" s="258"/>
      <c r="N224" s="251"/>
      <c r="O224" s="1487"/>
      <c r="P224" s="1487"/>
    </row>
    <row r="225" spans="1:16" s="14433" customFormat="1" ht="18.75" hidden="1" customHeight="1">
      <c r="A225" s="1642"/>
      <c r="B225" s="1642"/>
      <c r="C225" s="284" t="s">
        <v>1201</v>
      </c>
      <c r="D225" s="16273"/>
      <c r="E225" s="16079"/>
      <c r="F225" s="16217"/>
      <c r="G225" s="16245"/>
      <c r="H225" s="1371"/>
      <c r="I225" s="553" t="s">
        <v>1200</v>
      </c>
      <c r="J225" s="477"/>
      <c r="K225" s="1371"/>
      <c r="L225" s="136"/>
      <c r="M225" s="258"/>
      <c r="N225" s="251"/>
      <c r="O225" s="1487"/>
      <c r="P225" s="1487"/>
    </row>
    <row r="226" spans="1:16" s="14433" customFormat="1" ht="0.75" hidden="1" customHeight="1">
      <c r="A226" s="1642"/>
      <c r="B226" s="1642"/>
      <c r="C226" s="284" t="s">
        <v>1208</v>
      </c>
      <c r="D226" s="16273"/>
      <c r="E226" s="16079"/>
      <c r="F226" s="16217"/>
      <c r="G226" s="315"/>
      <c r="H226" s="1371"/>
      <c r="I226" s="553"/>
      <c r="J226" s="477"/>
      <c r="K226" s="1371"/>
      <c r="L226" s="136"/>
      <c r="M226" s="258"/>
      <c r="N226" s="251"/>
      <c r="O226" s="1487"/>
      <c r="P226" s="1487"/>
    </row>
    <row r="227" spans="1:16" s="14433" customFormat="1" ht="18.75" hidden="1" customHeight="1">
      <c r="A227" s="1642" t="s">
        <v>216</v>
      </c>
      <c r="B227" s="1642" t="s">
        <v>217</v>
      </c>
      <c r="C227" s="284"/>
      <c r="D227" s="16273"/>
      <c r="E227" s="16079"/>
      <c r="F227" s="16217" t="str">
        <f>INDEX(PT_DIFFERENTIATION_VTAR,MATCH(A227,PT_DIFFERENTIATION_VTAR_ID,0))</f>
        <v>Тарифы на услуги по передаче теплоносителя</v>
      </c>
      <c r="G227" s="16245" t="str">
        <f>INDEX(PT_DIFFERENTIATION_NTAR,MATCH(B227,PT_DIFFERENTIATION_NTAR_ID,0))</f>
        <v/>
      </c>
      <c r="H227" s="1723"/>
      <c r="I227" s="1601"/>
      <c r="J227" s="1635"/>
      <c r="K227" s="1640"/>
      <c r="L227" s="1723" t="s">
        <v>443</v>
      </c>
      <c r="M227" s="258"/>
      <c r="N227" s="251"/>
      <c r="O227" s="1487"/>
      <c r="P227" s="1487"/>
    </row>
    <row r="228" spans="1:16" s="14433" customFormat="1" ht="18.75" hidden="1" customHeight="1">
      <c r="A228" s="1642"/>
      <c r="B228" s="1642"/>
      <c r="C228" s="284" t="s">
        <v>1201</v>
      </c>
      <c r="D228" s="16273"/>
      <c r="E228" s="16079"/>
      <c r="F228" s="16217"/>
      <c r="G228" s="16245"/>
      <c r="H228" s="1371"/>
      <c r="I228" s="553" t="s">
        <v>1200</v>
      </c>
      <c r="J228" s="477"/>
      <c r="K228" s="1371"/>
      <c r="L228" s="136"/>
      <c r="M228" s="258"/>
      <c r="N228" s="251"/>
      <c r="O228" s="1487"/>
      <c r="P228" s="1487"/>
    </row>
    <row r="229" spans="1:16" s="14433" customFormat="1" ht="0.75" hidden="1" customHeight="1">
      <c r="A229" s="1642"/>
      <c r="B229" s="1642"/>
      <c r="C229" s="284" t="s">
        <v>1208</v>
      </c>
      <c r="D229" s="16273"/>
      <c r="E229" s="16079"/>
      <c r="F229" s="16217"/>
      <c r="G229" s="315"/>
      <c r="H229" s="1371"/>
      <c r="I229" s="553"/>
      <c r="J229" s="477"/>
      <c r="K229" s="1371"/>
      <c r="L229" s="136"/>
      <c r="M229" s="258"/>
      <c r="N229" s="251"/>
      <c r="O229" s="1487"/>
      <c r="P229" s="1487"/>
    </row>
    <row r="230" spans="1:16" s="14433" customFormat="1" ht="18.75" hidden="1" customHeight="1">
      <c r="A230" s="1642" t="s">
        <v>222</v>
      </c>
      <c r="B230" s="1642" t="s">
        <v>223</v>
      </c>
      <c r="C230" s="284"/>
      <c r="D230" s="16273"/>
      <c r="E230" s="16079"/>
      <c r="F230" s="16217" t="str">
        <f>INDEX(PT_DIFFERENTIATION_VTAR,MATCH(A230,PT_DIFFERENTIATION_VTAR_ID,0))</f>
        <v>Плата за услуги по поддержанию резервной тепловой мощности при отсутствии потребления тепловой энергии</v>
      </c>
      <c r="G230" s="16245" t="str">
        <f>INDEX(PT_DIFFERENTIATION_NTAR,MATCH(B230,PT_DIFFERENTIATION_NTAR_ID,0))</f>
        <v/>
      </c>
      <c r="H230" s="1723"/>
      <c r="I230" s="1601"/>
      <c r="J230" s="1635"/>
      <c r="K230" s="1640"/>
      <c r="L230" s="1723" t="s">
        <v>443</v>
      </c>
      <c r="M230" s="258"/>
      <c r="N230" s="251"/>
      <c r="O230" s="1487"/>
      <c r="P230" s="1487"/>
    </row>
    <row r="231" spans="1:16" s="14433" customFormat="1" ht="18.75" hidden="1" customHeight="1">
      <c r="A231" s="1642"/>
      <c r="B231" s="1642"/>
      <c r="C231" s="284" t="s">
        <v>1201</v>
      </c>
      <c r="D231" s="16273"/>
      <c r="E231" s="16079"/>
      <c r="F231" s="16217"/>
      <c r="G231" s="16245"/>
      <c r="H231" s="1371"/>
      <c r="I231" s="553" t="s">
        <v>1200</v>
      </c>
      <c r="J231" s="477"/>
      <c r="K231" s="1371"/>
      <c r="L231" s="136"/>
      <c r="M231" s="258"/>
      <c r="N231" s="251"/>
      <c r="O231" s="1487"/>
      <c r="P231" s="1487"/>
    </row>
    <row r="232" spans="1:16" s="14433" customFormat="1" ht="0.75" hidden="1" customHeight="1">
      <c r="A232" s="1642"/>
      <c r="B232" s="1642"/>
      <c r="C232" s="284" t="s">
        <v>1208</v>
      </c>
      <c r="D232" s="16273"/>
      <c r="E232" s="16079"/>
      <c r="F232" s="16217"/>
      <c r="G232" s="315"/>
      <c r="H232" s="1371"/>
      <c r="I232" s="553"/>
      <c r="J232" s="477"/>
      <c r="K232" s="1371"/>
      <c r="L232" s="136"/>
      <c r="M232" s="258"/>
      <c r="N232" s="251"/>
      <c r="O232" s="1487"/>
      <c r="P232" s="1487"/>
    </row>
    <row r="233" spans="1:16" s="14433" customFormat="1" ht="18.75" hidden="1" customHeight="1">
      <c r="A233" s="1642" t="s">
        <v>228</v>
      </c>
      <c r="B233" s="1642" t="s">
        <v>229</v>
      </c>
      <c r="C233" s="284"/>
      <c r="D233" s="16273"/>
      <c r="E233" s="16079"/>
      <c r="F233" s="16217" t="str">
        <f>INDEX(PT_DIFFERENTIATION_VTAR,MATCH(A233,PT_DIFFERENTIATION_VTAR_ID,0))</f>
        <v>Плата за подключение (технологическое присоединение) к системе теплоснабжения</v>
      </c>
      <c r="G233" s="16245" t="str">
        <f>INDEX(PT_DIFFERENTIATION_NTAR,MATCH(B233,PT_DIFFERENTIATION_NTAR_ID,0))</f>
        <v/>
      </c>
      <c r="H233" s="1723"/>
      <c r="I233" s="1601"/>
      <c r="J233" s="1635"/>
      <c r="K233" s="1640"/>
      <c r="L233" s="1723" t="s">
        <v>443</v>
      </c>
      <c r="M233" s="258"/>
      <c r="N233" s="251"/>
      <c r="O233" s="1487"/>
      <c r="P233" s="1487"/>
    </row>
    <row r="234" spans="1:16" s="14433" customFormat="1" ht="18.75" hidden="1" customHeight="1">
      <c r="A234" s="1642"/>
      <c r="B234" s="1642"/>
      <c r="C234" s="284" t="s">
        <v>1201</v>
      </c>
      <c r="D234" s="16273"/>
      <c r="E234" s="16079"/>
      <c r="F234" s="16217"/>
      <c r="G234" s="16245"/>
      <c r="H234" s="1371"/>
      <c r="I234" s="553" t="s">
        <v>1200</v>
      </c>
      <c r="J234" s="477"/>
      <c r="K234" s="1371"/>
      <c r="L234" s="136"/>
      <c r="M234" s="258"/>
      <c r="N234" s="251"/>
      <c r="O234" s="1487"/>
      <c r="P234" s="1487"/>
    </row>
    <row r="235" spans="1:16" s="14433" customFormat="1" ht="0.75" hidden="1" customHeight="1">
      <c r="A235" s="1642"/>
      <c r="B235" s="1642"/>
      <c r="C235" s="284" t="s">
        <v>1208</v>
      </c>
      <c r="D235" s="16273"/>
      <c r="E235" s="16079"/>
      <c r="F235" s="16217"/>
      <c r="G235" s="315"/>
      <c r="H235" s="1371"/>
      <c r="I235" s="553"/>
      <c r="J235" s="477"/>
      <c r="K235" s="1371"/>
      <c r="L235" s="136"/>
      <c r="M235" s="258"/>
      <c r="N235" s="251"/>
      <c r="O235" s="1487"/>
      <c r="P235" s="1487"/>
    </row>
    <row r="236" spans="1:16" s="14433" customFormat="1" ht="18.75" hidden="1" customHeight="1">
      <c r="A236" s="1642" t="s">
        <v>254</v>
      </c>
      <c r="B236" s="1642" t="s">
        <v>255</v>
      </c>
      <c r="C236" s="284"/>
      <c r="D236" s="16273"/>
      <c r="E236" s="16079"/>
      <c r="F236" s="16217" t="str">
        <f>INDEX(PT_DIFFERENTIATION_VTAR,MATCH(A236,PT_DIFFERENTIATION_VTAR_ID,0))</f>
        <v>Тариф на питьевую воду (питьевое водоснабжение)</v>
      </c>
      <c r="G236" s="16245" t="str">
        <f>INDEX(PT_DIFFERENTIATION_NTAR,MATCH(B236,PT_DIFFERENTIATION_NTAR_ID,0))</f>
        <v/>
      </c>
      <c r="H236" s="1723"/>
      <c r="I236" s="1601"/>
      <c r="J236" s="1635"/>
      <c r="K236" s="1640"/>
      <c r="L236" s="1723" t="s">
        <v>443</v>
      </c>
      <c r="M236" s="258"/>
      <c r="N236" s="251"/>
      <c r="O236" s="1487"/>
      <c r="P236" s="1487"/>
    </row>
    <row r="237" spans="1:16" s="14433" customFormat="1" ht="18.75" hidden="1" customHeight="1">
      <c r="A237" s="1642"/>
      <c r="B237" s="1642"/>
      <c r="C237" s="284" t="s">
        <v>1201</v>
      </c>
      <c r="D237" s="16273"/>
      <c r="E237" s="16079"/>
      <c r="F237" s="16217"/>
      <c r="G237" s="16245"/>
      <c r="H237" s="1371"/>
      <c r="I237" s="553" t="s">
        <v>1200</v>
      </c>
      <c r="J237" s="477"/>
      <c r="K237" s="1371"/>
      <c r="L237" s="136"/>
      <c r="M237" s="258"/>
      <c r="N237" s="251"/>
      <c r="O237" s="1487"/>
      <c r="P237" s="1487"/>
    </row>
    <row r="238" spans="1:16" s="14433" customFormat="1" ht="0.75" hidden="1" customHeight="1">
      <c r="A238" s="1642"/>
      <c r="B238" s="1642"/>
      <c r="C238" s="284" t="s">
        <v>1208</v>
      </c>
      <c r="D238" s="16273"/>
      <c r="E238" s="16079"/>
      <c r="F238" s="16217"/>
      <c r="G238" s="315"/>
      <c r="H238" s="1371"/>
      <c r="I238" s="553"/>
      <c r="J238" s="477"/>
      <c r="K238" s="1371"/>
      <c r="L238" s="136"/>
      <c r="M238" s="258"/>
      <c r="N238" s="251"/>
      <c r="O238" s="1487"/>
      <c r="P238" s="1487"/>
    </row>
    <row r="239" spans="1:16" s="14433" customFormat="1" ht="18.75" hidden="1" customHeight="1">
      <c r="A239" s="1642" t="s">
        <v>259</v>
      </c>
      <c r="B239" s="1642" t="s">
        <v>260</v>
      </c>
      <c r="C239" s="284"/>
      <c r="D239" s="16273"/>
      <c r="E239" s="16079"/>
      <c r="F239" s="16217" t="str">
        <f>INDEX(PT_DIFFERENTIATION_VTAR,MATCH(A239,PT_DIFFERENTIATION_VTAR_ID,0))</f>
        <v>Тариф на техническую воду</v>
      </c>
      <c r="G239" s="16245" t="str">
        <f>INDEX(PT_DIFFERENTIATION_NTAR,MATCH(B239,PT_DIFFERENTIATION_NTAR_ID,0))</f>
        <v/>
      </c>
      <c r="H239" s="1723"/>
      <c r="I239" s="1601"/>
      <c r="J239" s="1635"/>
      <c r="K239" s="1640"/>
      <c r="L239" s="1723" t="s">
        <v>443</v>
      </c>
      <c r="M239" s="258"/>
      <c r="N239" s="251"/>
      <c r="O239" s="1487"/>
      <c r="P239" s="1487"/>
    </row>
    <row r="240" spans="1:16" s="14433" customFormat="1" ht="18.75" hidden="1" customHeight="1">
      <c r="A240" s="1642"/>
      <c r="B240" s="1642"/>
      <c r="C240" s="284" t="s">
        <v>1201</v>
      </c>
      <c r="D240" s="16273"/>
      <c r="E240" s="16079"/>
      <c r="F240" s="16217"/>
      <c r="G240" s="16245"/>
      <c r="H240" s="1371"/>
      <c r="I240" s="553" t="s">
        <v>1200</v>
      </c>
      <c r="J240" s="477"/>
      <c r="K240" s="1371"/>
      <c r="L240" s="136"/>
      <c r="M240" s="258"/>
      <c r="N240" s="251"/>
      <c r="O240" s="1487"/>
      <c r="P240" s="1487"/>
    </row>
    <row r="241" spans="1:33" s="14433" customFormat="1" ht="0.75" hidden="1" customHeight="1">
      <c r="A241" s="1642"/>
      <c r="B241" s="1642"/>
      <c r="C241" s="284" t="s">
        <v>1208</v>
      </c>
      <c r="D241" s="16273"/>
      <c r="E241" s="16079"/>
      <c r="F241" s="16217"/>
      <c r="G241" s="315"/>
      <c r="H241" s="1371"/>
      <c r="I241" s="553"/>
      <c r="J241" s="477"/>
      <c r="K241" s="1371"/>
      <c r="L241" s="136"/>
      <c r="M241" s="258"/>
      <c r="N241" s="251"/>
      <c r="O241" s="1487"/>
      <c r="P241" s="1487"/>
    </row>
    <row r="242" spans="1:33" s="14433" customFormat="1" ht="18.75" hidden="1" customHeight="1">
      <c r="A242" s="1642" t="s">
        <v>264</v>
      </c>
      <c r="B242" s="1642" t="s">
        <v>265</v>
      </c>
      <c r="C242" s="284"/>
      <c r="D242" s="16273"/>
      <c r="E242" s="16079"/>
      <c r="F242" s="16217" t="str">
        <f>INDEX(PT_DIFFERENTIATION_VTAR,MATCH(A242,PT_DIFFERENTIATION_VTAR_ID,0))</f>
        <v>Тариф на транспортировку воды</v>
      </c>
      <c r="G242" s="16245" t="str">
        <f>INDEX(PT_DIFFERENTIATION_NTAR,MATCH(B242,PT_DIFFERENTIATION_NTAR_ID,0))</f>
        <v/>
      </c>
      <c r="H242" s="1723"/>
      <c r="I242" s="1601"/>
      <c r="J242" s="1635"/>
      <c r="K242" s="1640"/>
      <c r="L242" s="1723" t="s">
        <v>443</v>
      </c>
      <c r="M242" s="258"/>
      <c r="N242" s="251"/>
      <c r="O242" s="1487"/>
      <c r="P242" s="1487"/>
    </row>
    <row r="243" spans="1:33" s="14433" customFormat="1" ht="18.75" hidden="1" customHeight="1">
      <c r="A243" s="1642"/>
      <c r="B243" s="1642"/>
      <c r="C243" s="284" t="s">
        <v>1201</v>
      </c>
      <c r="D243" s="16273"/>
      <c r="E243" s="16079"/>
      <c r="F243" s="16217"/>
      <c r="G243" s="16245"/>
      <c r="H243" s="1371"/>
      <c r="I243" s="553" t="s">
        <v>1200</v>
      </c>
      <c r="J243" s="477"/>
      <c r="K243" s="1371"/>
      <c r="L243" s="136"/>
      <c r="M243" s="258"/>
      <c r="N243" s="251"/>
      <c r="O243" s="1487"/>
      <c r="P243" s="1487"/>
    </row>
    <row r="244" spans="1:33" s="14433" customFormat="1" ht="0.75" hidden="1" customHeight="1">
      <c r="A244" s="1642"/>
      <c r="B244" s="1642"/>
      <c r="C244" s="284" t="s">
        <v>1208</v>
      </c>
      <c r="D244" s="16273"/>
      <c r="E244" s="16079"/>
      <c r="F244" s="16217"/>
      <c r="G244" s="315"/>
      <c r="H244" s="1371"/>
      <c r="I244" s="553"/>
      <c r="J244" s="477"/>
      <c r="K244" s="1371"/>
      <c r="L244" s="136"/>
      <c r="M244" s="258"/>
      <c r="N244" s="251"/>
      <c r="O244" s="1487"/>
      <c r="P244" s="1487"/>
    </row>
    <row r="245" spans="1:33" s="14433" customFormat="1" ht="18.75" hidden="1" customHeight="1">
      <c r="A245" s="1642" t="s">
        <v>269</v>
      </c>
      <c r="B245" s="1642" t="s">
        <v>270</v>
      </c>
      <c r="C245" s="284"/>
      <c r="D245" s="16273"/>
      <c r="E245" s="16079"/>
      <c r="F245" s="16217" t="str">
        <f>INDEX(PT_DIFFERENTIATION_VTAR,MATCH(A245,PT_DIFFERENTIATION_VTAR_ID,0))</f>
        <v>Тариф на подвоз воды</v>
      </c>
      <c r="G245" s="16245" t="str">
        <f>INDEX(PT_DIFFERENTIATION_NTAR,MATCH(B245,PT_DIFFERENTIATION_NTAR_ID,0))</f>
        <v/>
      </c>
      <c r="H245" s="1723"/>
      <c r="I245" s="1601"/>
      <c r="J245" s="1635"/>
      <c r="K245" s="1640"/>
      <c r="L245" s="1723" t="s">
        <v>443</v>
      </c>
      <c r="M245" s="258"/>
      <c r="N245" s="251"/>
      <c r="O245" s="1487"/>
      <c r="P245" s="1487"/>
    </row>
    <row r="246" spans="1:33" s="14433" customFormat="1" ht="18.75" hidden="1" customHeight="1">
      <c r="A246" s="1642"/>
      <c r="B246" s="1642"/>
      <c r="C246" s="284" t="s">
        <v>1201</v>
      </c>
      <c r="D246" s="16273"/>
      <c r="E246" s="16079"/>
      <c r="F246" s="16217"/>
      <c r="G246" s="16245"/>
      <c r="H246" s="1371"/>
      <c r="I246" s="553" t="s">
        <v>1200</v>
      </c>
      <c r="J246" s="477"/>
      <c r="K246" s="1371"/>
      <c r="L246" s="136"/>
      <c r="M246" s="258"/>
      <c r="N246" s="251"/>
      <c r="O246" s="1487"/>
      <c r="P246" s="1487"/>
    </row>
    <row r="247" spans="1:33" s="14433" customFormat="1" ht="0.75" hidden="1" customHeight="1">
      <c r="A247" s="1642"/>
      <c r="B247" s="1642"/>
      <c r="C247" s="284" t="s">
        <v>1208</v>
      </c>
      <c r="D247" s="16273"/>
      <c r="E247" s="16079"/>
      <c r="F247" s="16217"/>
      <c r="G247" s="315"/>
      <c r="H247" s="1371"/>
      <c r="I247" s="553"/>
      <c r="J247" s="477"/>
      <c r="K247" s="1371"/>
      <c r="L247" s="136"/>
      <c r="M247" s="258"/>
      <c r="N247" s="251"/>
      <c r="O247" s="1487"/>
      <c r="P247" s="1487"/>
    </row>
    <row r="248" spans="1:33" s="14433" customFormat="1" ht="18.75" hidden="1" customHeight="1">
      <c r="A248" s="1642" t="s">
        <v>274</v>
      </c>
      <c r="B248" s="1642" t="s">
        <v>275</v>
      </c>
      <c r="C248" s="284"/>
      <c r="D248" s="16273"/>
      <c r="E248" s="16079"/>
      <c r="F248" s="1621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6245" t="str">
        <f>INDEX(PT_DIFFERENTIATION_NTAR,MATCH(B248,PT_DIFFERENTIATION_NTAR_ID,0))</f>
        <v/>
      </c>
      <c r="H248" s="1723"/>
      <c r="I248" s="1601"/>
      <c r="J248" s="1635"/>
      <c r="K248" s="1640"/>
      <c r="L248" s="1723" t="s">
        <v>443</v>
      </c>
      <c r="M248" s="258"/>
      <c r="N248" s="251"/>
      <c r="O248" s="1487"/>
      <c r="P248" s="1487"/>
    </row>
    <row r="249" spans="1:33" s="14433" customFormat="1" ht="18.75" hidden="1" customHeight="1">
      <c r="A249" s="1642"/>
      <c r="B249" s="1642"/>
      <c r="C249" s="284" t="s">
        <v>1201</v>
      </c>
      <c r="D249" s="16273"/>
      <c r="E249" s="16079"/>
      <c r="F249" s="16217"/>
      <c r="G249" s="16245"/>
      <c r="H249" s="1371"/>
      <c r="I249" s="553" t="s">
        <v>1200</v>
      </c>
      <c r="J249" s="477"/>
      <c r="K249" s="1371"/>
      <c r="L249" s="136"/>
      <c r="M249" s="258"/>
      <c r="N249" s="251"/>
      <c r="O249" s="1487"/>
      <c r="P249" s="1487"/>
    </row>
    <row r="250" spans="1:33" s="14433" customFormat="1" ht="0.75" hidden="1" customHeight="1">
      <c r="A250" s="1642"/>
      <c r="B250" s="1642"/>
      <c r="C250" s="284" t="s">
        <v>1208</v>
      </c>
      <c r="D250" s="16273"/>
      <c r="E250" s="16079"/>
      <c r="F250" s="16217"/>
      <c r="G250" s="315"/>
      <c r="H250" s="1371"/>
      <c r="I250" s="553"/>
      <c r="J250" s="477"/>
      <c r="K250" s="1371"/>
      <c r="L250" s="136"/>
      <c r="M250" s="258"/>
      <c r="N250" s="251"/>
      <c r="O250" s="1487"/>
      <c r="P250" s="1487"/>
    </row>
    <row r="251" spans="1:33" s="14433" customFormat="1" ht="18.75" hidden="1" customHeight="1">
      <c r="A251" s="1642" t="s">
        <v>283</v>
      </c>
      <c r="B251" s="1642" t="s">
        <v>284</v>
      </c>
      <c r="C251" s="284"/>
      <c r="D251" s="16273"/>
      <c r="E251" s="16079"/>
      <c r="F251" s="16217" t="str">
        <f>INDEX(PT_DIFFERENTIATION_VTAR,MATCH(A251,PT_DIFFERENTIATION_VTAR_ID,0))</f>
        <v>Тариф на горячую воду (горячее водоснабжение)</v>
      </c>
      <c r="G251" s="16245" t="str">
        <f>INDEX(PT_DIFFERENTIATION_NTAR,MATCH(B251,PT_DIFFERENTIATION_NTAR_ID,0))</f>
        <v>Тариф на горячую воду в закрытой системе горячего водоснабжения, поставляемую группе потребителей "население"</v>
      </c>
      <c r="H251" s="1723"/>
      <c r="I251" s="1601"/>
      <c r="J251" s="1635"/>
      <c r="K251" s="1640"/>
      <c r="L251" s="1723" t="s">
        <v>443</v>
      </c>
      <c r="M251" s="258"/>
      <c r="N251" s="251"/>
      <c r="O251" s="1487"/>
      <c r="P251" s="1487"/>
    </row>
    <row r="252" spans="1:33" s="14433" customFormat="1" ht="18.75" hidden="1" customHeight="1">
      <c r="A252" s="1642"/>
      <c r="B252" s="1642"/>
      <c r="C252" s="284" t="s">
        <v>1201</v>
      </c>
      <c r="D252" s="16273"/>
      <c r="E252" s="16079"/>
      <c r="F252" s="16217"/>
      <c r="G252" s="16245"/>
      <c r="H252" s="1371"/>
      <c r="I252" s="553" t="s">
        <v>1200</v>
      </c>
      <c r="J252" s="477"/>
      <c r="K252" s="1371"/>
      <c r="L252" s="136"/>
      <c r="M252" s="258"/>
      <c r="N252" s="251"/>
      <c r="O252" s="1487"/>
      <c r="P252" s="1487"/>
    </row>
    <row r="253" spans="1:33" s="15891" customFormat="1" ht="18.75" customHeight="1">
      <c r="A253" s="2775" t="s">
        <v>283</v>
      </c>
      <c r="B253" s="2775" t="s">
        <v>329</v>
      </c>
      <c r="C253" s="10455"/>
      <c r="D253" s="16274"/>
      <c r="E253" s="16275"/>
      <c r="F253" s="16275"/>
      <c r="G253" s="16245" t="str">
        <f>INDEX(PT_DIFFERENTIATION_NTAR,MATCH(B253,PT_DIFFERENTIATION_NTAR_ID,0))</f>
        <v>Тариф на горячую воду в закрытой системе горячего водоснабжения, поставляемую потребителям</v>
      </c>
      <c r="H253" s="2202"/>
      <c r="I253" s="10456"/>
      <c r="J253" s="10457"/>
      <c r="K253" s="10466"/>
      <c r="L253" s="2202" t="s">
        <v>443</v>
      </c>
      <c r="M253" s="10459"/>
      <c r="N253" s="10460"/>
      <c r="O253" s="2512"/>
      <c r="P253" s="2512"/>
      <c r="Q253" s="1892"/>
      <c r="R253" s="1892"/>
      <c r="S253" s="1892"/>
      <c r="T253" s="1892"/>
      <c r="U253" s="1892"/>
      <c r="V253" s="1892"/>
      <c r="W253" s="1892"/>
      <c r="X253" s="1892"/>
      <c r="Y253" s="1892"/>
      <c r="Z253" s="1892"/>
      <c r="AA253" s="1892"/>
      <c r="AB253" s="1892"/>
      <c r="AC253" s="1892"/>
      <c r="AD253" s="1892"/>
      <c r="AE253" s="1892"/>
      <c r="AF253" s="1892"/>
      <c r="AG253" s="1892"/>
    </row>
    <row r="254" spans="1:33" s="15891" customFormat="1" ht="18.75" customHeight="1">
      <c r="A254" s="2775"/>
      <c r="B254" s="2775"/>
      <c r="C254" s="10455" t="s">
        <v>1201</v>
      </c>
      <c r="D254" s="16274"/>
      <c r="E254" s="16275"/>
      <c r="F254" s="16275"/>
      <c r="G254" s="16245"/>
      <c r="H254" s="10477"/>
      <c r="I254" s="10478" t="s">
        <v>1200</v>
      </c>
      <c r="J254" s="10479"/>
      <c r="K254" s="10480"/>
      <c r="L254" s="10481"/>
      <c r="M254" s="10459"/>
      <c r="N254" s="10460"/>
      <c r="O254" s="2512"/>
      <c r="P254" s="2512"/>
      <c r="Q254" s="1892"/>
      <c r="R254" s="1892"/>
      <c r="S254" s="1892"/>
      <c r="T254" s="1892"/>
      <c r="U254" s="1892"/>
      <c r="V254" s="1892"/>
      <c r="W254" s="1892"/>
      <c r="X254" s="1892"/>
      <c r="Y254" s="1892"/>
      <c r="Z254" s="1892"/>
      <c r="AA254" s="1892"/>
      <c r="AB254" s="1892"/>
      <c r="AC254" s="1892"/>
      <c r="AD254" s="1892"/>
      <c r="AE254" s="1892"/>
      <c r="AF254" s="1892"/>
      <c r="AG254" s="1892"/>
    </row>
    <row r="255" spans="1:33" s="15893" customFormat="1" ht="18.75" customHeight="1">
      <c r="A255" s="10494" t="s">
        <v>283</v>
      </c>
      <c r="B255" s="10494" t="s">
        <v>360</v>
      </c>
      <c r="C255" s="14302"/>
      <c r="D255" s="16274"/>
      <c r="E255" s="16275"/>
      <c r="F255" s="16275"/>
      <c r="G255" s="16245" t="str">
        <f>INDEX(PT_DIFFERENTIATION_NTAR,MATCH(B255,PT_DIFFERENTIATION_NTAR_ID,0))</f>
        <v>Тариф на горячую воду в закрытой системе горячего водоснабжения, поставляемую группе потребителей "потребители (кроме населения)"</v>
      </c>
      <c r="H255" s="14303"/>
      <c r="I255" s="14304"/>
      <c r="J255" s="14305"/>
      <c r="K255" s="14315"/>
      <c r="L255" s="14303" t="s">
        <v>443</v>
      </c>
      <c r="M255" s="14307"/>
      <c r="N255" s="14308"/>
      <c r="O255" s="10501"/>
      <c r="P255" s="10501"/>
      <c r="Q255" s="14309"/>
      <c r="R255" s="14309"/>
      <c r="S255" s="14309"/>
      <c r="T255" s="14309"/>
      <c r="U255" s="14309"/>
      <c r="V255" s="14309"/>
      <c r="W255" s="14309"/>
      <c r="X255" s="14309"/>
      <c r="Y255" s="14309"/>
      <c r="Z255" s="14309"/>
      <c r="AA255" s="14309"/>
      <c r="AB255" s="14309"/>
      <c r="AC255" s="14309"/>
      <c r="AD255" s="14309"/>
      <c r="AE255" s="14309"/>
      <c r="AF255" s="14309"/>
      <c r="AG255" s="14309"/>
    </row>
    <row r="256" spans="1:33" s="15893" customFormat="1" ht="18.75" customHeight="1">
      <c r="A256" s="10494"/>
      <c r="B256" s="10494"/>
      <c r="C256" s="14302" t="s">
        <v>1201</v>
      </c>
      <c r="D256" s="16274"/>
      <c r="E256" s="16275"/>
      <c r="F256" s="16275"/>
      <c r="G256" s="16245"/>
      <c r="H256" s="14326"/>
      <c r="I256" s="14327" t="s">
        <v>1200</v>
      </c>
      <c r="J256" s="14328"/>
      <c r="K256" s="14329"/>
      <c r="L256" s="14330"/>
      <c r="M256" s="14307"/>
      <c r="N256" s="14308"/>
      <c r="O256" s="10501"/>
      <c r="P256" s="10501"/>
      <c r="Q256" s="14309"/>
      <c r="R256" s="14309"/>
      <c r="S256" s="14309"/>
      <c r="T256" s="14309"/>
      <c r="U256" s="14309"/>
      <c r="V256" s="14309"/>
      <c r="W256" s="14309"/>
      <c r="X256" s="14309"/>
      <c r="Y256" s="14309"/>
      <c r="Z256" s="14309"/>
      <c r="AA256" s="14309"/>
      <c r="AB256" s="14309"/>
      <c r="AC256" s="14309"/>
      <c r="AD256" s="14309"/>
      <c r="AE256" s="14309"/>
      <c r="AF256" s="14309"/>
      <c r="AG256" s="14309"/>
    </row>
    <row r="257" spans="1:16" s="14433" customFormat="1" ht="0.75" hidden="1" customHeight="1">
      <c r="A257" s="1642"/>
      <c r="B257" s="1642"/>
      <c r="C257" s="284" t="s">
        <v>1208</v>
      </c>
      <c r="D257" s="16273"/>
      <c r="E257" s="16079"/>
      <c r="F257" s="16217"/>
      <c r="G257" s="315"/>
      <c r="H257" s="1371"/>
      <c r="I257" s="553"/>
      <c r="J257" s="477"/>
      <c r="K257" s="1371"/>
      <c r="L257" s="136"/>
      <c r="M257" s="258"/>
      <c r="N257" s="251"/>
      <c r="O257" s="1487"/>
      <c r="P257" s="1487"/>
    </row>
    <row r="258" spans="1:16" s="14433" customFormat="1" ht="18.75" hidden="1" customHeight="1">
      <c r="A258" s="1642" t="s">
        <v>392</v>
      </c>
      <c r="B258" s="1642" t="s">
        <v>393</v>
      </c>
      <c r="C258" s="284"/>
      <c r="D258" s="16273"/>
      <c r="E258" s="16079"/>
      <c r="F258" s="16217" t="str">
        <f>INDEX(PT_DIFFERENTIATION_VTAR,MATCH(A258,PT_DIFFERENTIATION_VTAR_ID,0))</f>
        <v>Тариф на транспортировку горячей воды</v>
      </c>
      <c r="G258" s="16245" t="str">
        <f>INDEX(PT_DIFFERENTIATION_NTAR,MATCH(B258,PT_DIFFERENTIATION_NTAR_ID,0))</f>
        <v/>
      </c>
      <c r="H258" s="1723"/>
      <c r="I258" s="1601"/>
      <c r="J258" s="1635"/>
      <c r="K258" s="1640"/>
      <c r="L258" s="1723" t="s">
        <v>443</v>
      </c>
      <c r="M258" s="258"/>
      <c r="N258" s="251"/>
      <c r="O258" s="1487"/>
      <c r="P258" s="1487"/>
    </row>
    <row r="259" spans="1:16" s="14433" customFormat="1" ht="18.75" hidden="1" customHeight="1">
      <c r="A259" s="1642"/>
      <c r="B259" s="1642"/>
      <c r="C259" s="284" t="s">
        <v>1201</v>
      </c>
      <c r="D259" s="16273"/>
      <c r="E259" s="16079"/>
      <c r="F259" s="16217"/>
      <c r="G259" s="16245"/>
      <c r="H259" s="1371"/>
      <c r="I259" s="553" t="s">
        <v>1200</v>
      </c>
      <c r="J259" s="477"/>
      <c r="K259" s="1371"/>
      <c r="L259" s="136"/>
      <c r="M259" s="258"/>
      <c r="N259" s="251"/>
      <c r="O259" s="1487"/>
      <c r="P259" s="1487"/>
    </row>
    <row r="260" spans="1:16" s="14433" customFormat="1" ht="0.75" hidden="1" customHeight="1">
      <c r="A260" s="1642"/>
      <c r="B260" s="1642"/>
      <c r="C260" s="284" t="s">
        <v>1208</v>
      </c>
      <c r="D260" s="16273"/>
      <c r="E260" s="16079"/>
      <c r="F260" s="16217"/>
      <c r="G260" s="315"/>
      <c r="H260" s="1371"/>
      <c r="I260" s="553"/>
      <c r="J260" s="477"/>
      <c r="K260" s="1371"/>
      <c r="L260" s="136"/>
      <c r="M260" s="258"/>
      <c r="N260" s="251"/>
      <c r="O260" s="1487"/>
      <c r="P260" s="1487"/>
    </row>
    <row r="261" spans="1:16" s="14433" customFormat="1" ht="18.75" hidden="1" customHeight="1">
      <c r="A261" s="1642" t="s">
        <v>397</v>
      </c>
      <c r="B261" s="1642" t="s">
        <v>398</v>
      </c>
      <c r="C261" s="284"/>
      <c r="D261" s="16273"/>
      <c r="E261" s="16079"/>
      <c r="F261" s="16217" t="str">
        <f>INDEX(PT_DIFFERENTIATION_VTAR,MATCH(A261,PT_DIFFERENTIATION_VTAR_ID,0))</f>
        <v>Тариф на подключение (технологическое присоединение) к централизованной системе горячего водоснабжения</v>
      </c>
      <c r="G261" s="16245" t="str">
        <f>INDEX(PT_DIFFERENTIATION_NTAR,MATCH(B261,PT_DIFFERENTIATION_NTAR_ID,0))</f>
        <v/>
      </c>
      <c r="H261" s="1723"/>
      <c r="I261" s="1601"/>
      <c r="J261" s="1635"/>
      <c r="K261" s="1640"/>
      <c r="L261" s="1723" t="s">
        <v>443</v>
      </c>
      <c r="M261" s="258"/>
      <c r="N261" s="251"/>
      <c r="O261" s="1487"/>
      <c r="P261" s="1487"/>
    </row>
    <row r="262" spans="1:16" s="14433" customFormat="1" ht="18.75" hidden="1" customHeight="1">
      <c r="A262" s="1642"/>
      <c r="B262" s="1642"/>
      <c r="C262" s="284" t="s">
        <v>1201</v>
      </c>
      <c r="D262" s="16273"/>
      <c r="E262" s="16079"/>
      <c r="F262" s="16217"/>
      <c r="G262" s="16245"/>
      <c r="H262" s="1371"/>
      <c r="I262" s="553" t="s">
        <v>1200</v>
      </c>
      <c r="J262" s="477"/>
      <c r="K262" s="1371"/>
      <c r="L262" s="136"/>
      <c r="M262" s="258"/>
      <c r="N262" s="251"/>
      <c r="O262" s="1487"/>
      <c r="P262" s="1487"/>
    </row>
    <row r="263" spans="1:16" s="14433" customFormat="1" ht="0.75" hidden="1" customHeight="1">
      <c r="A263" s="1642"/>
      <c r="B263" s="1642"/>
      <c r="C263" s="284" t="s">
        <v>1208</v>
      </c>
      <c r="D263" s="16273"/>
      <c r="E263" s="16079"/>
      <c r="F263" s="16217"/>
      <c r="G263" s="315"/>
      <c r="H263" s="1371"/>
      <c r="I263" s="553"/>
      <c r="J263" s="477"/>
      <c r="K263" s="1371"/>
      <c r="L263" s="136"/>
      <c r="M263" s="258"/>
      <c r="N263" s="251"/>
      <c r="O263" s="1487"/>
      <c r="P263" s="1487"/>
    </row>
    <row r="264" spans="1:16" s="14433" customFormat="1" ht="18.75" hidden="1" customHeight="1">
      <c r="A264" s="1642" t="s">
        <v>402</v>
      </c>
      <c r="B264" s="1642" t="s">
        <v>403</v>
      </c>
      <c r="C264" s="284"/>
      <c r="D264" s="16273"/>
      <c r="E264" s="16079"/>
      <c r="F264" s="16217" t="str">
        <f>INDEX(PT_DIFFERENTIATION_VTAR,MATCH(A264,PT_DIFFERENTIATION_VTAR_ID,0))</f>
        <v>Тариф на водоотведение</v>
      </c>
      <c r="G264" s="16245" t="str">
        <f>INDEX(PT_DIFFERENTIATION_NTAR,MATCH(B264,PT_DIFFERENTIATION_NTAR_ID,0))</f>
        <v/>
      </c>
      <c r="H264" s="1723"/>
      <c r="I264" s="1601"/>
      <c r="J264" s="1635"/>
      <c r="K264" s="1640"/>
      <c r="L264" s="1723" t="s">
        <v>443</v>
      </c>
      <c r="M264" s="258"/>
      <c r="N264" s="251"/>
      <c r="O264" s="1487"/>
      <c r="P264" s="1487"/>
    </row>
    <row r="265" spans="1:16" s="14433" customFormat="1" ht="18.75" hidden="1" customHeight="1">
      <c r="A265" s="1642"/>
      <c r="B265" s="1642"/>
      <c r="C265" s="284" t="s">
        <v>1201</v>
      </c>
      <c r="D265" s="16273"/>
      <c r="E265" s="16079"/>
      <c r="F265" s="16217"/>
      <c r="G265" s="16245"/>
      <c r="H265" s="1371"/>
      <c r="I265" s="553" t="s">
        <v>1200</v>
      </c>
      <c r="J265" s="477"/>
      <c r="K265" s="1371"/>
      <c r="L265" s="136"/>
      <c r="M265" s="258"/>
      <c r="N265" s="251"/>
      <c r="O265" s="1487"/>
      <c r="P265" s="1487"/>
    </row>
    <row r="266" spans="1:16" s="14433" customFormat="1" ht="0.75" hidden="1" customHeight="1">
      <c r="A266" s="1642"/>
      <c r="B266" s="1642"/>
      <c r="C266" s="284" t="s">
        <v>1208</v>
      </c>
      <c r="D266" s="16273"/>
      <c r="E266" s="16079"/>
      <c r="F266" s="16217"/>
      <c r="G266" s="315"/>
      <c r="H266" s="1371"/>
      <c r="I266" s="553"/>
      <c r="J266" s="477"/>
      <c r="K266" s="1371"/>
      <c r="L266" s="136"/>
      <c r="M266" s="258"/>
      <c r="N266" s="251"/>
      <c r="O266" s="1487"/>
      <c r="P266" s="1487"/>
    </row>
    <row r="267" spans="1:16" s="14433" customFormat="1" ht="18.75" hidden="1" customHeight="1">
      <c r="A267" s="1642" t="s">
        <v>407</v>
      </c>
      <c r="B267" s="1642" t="s">
        <v>408</v>
      </c>
      <c r="C267" s="284"/>
      <c r="D267" s="16273"/>
      <c r="E267" s="16079"/>
      <c r="F267" s="16217" t="str">
        <f>INDEX(PT_DIFFERENTIATION_VTAR,MATCH(A267,PT_DIFFERENTIATION_VTAR_ID,0))</f>
        <v>Тариф на транспортировку сточных вод</v>
      </c>
      <c r="G267" s="16245" t="str">
        <f>INDEX(PT_DIFFERENTIATION_NTAR,MATCH(B267,PT_DIFFERENTIATION_NTAR_ID,0))</f>
        <v/>
      </c>
      <c r="H267" s="1723"/>
      <c r="I267" s="1601"/>
      <c r="J267" s="1635"/>
      <c r="K267" s="1640"/>
      <c r="L267" s="1723" t="s">
        <v>443</v>
      </c>
      <c r="M267" s="258"/>
      <c r="N267" s="251"/>
      <c r="O267" s="1487"/>
      <c r="P267" s="1487"/>
    </row>
    <row r="268" spans="1:16" s="14433" customFormat="1" ht="18.75" hidden="1" customHeight="1">
      <c r="A268" s="1642"/>
      <c r="B268" s="1642"/>
      <c r="C268" s="284" t="s">
        <v>1201</v>
      </c>
      <c r="D268" s="16273"/>
      <c r="E268" s="16079"/>
      <c r="F268" s="16217"/>
      <c r="G268" s="16245"/>
      <c r="H268" s="1371"/>
      <c r="I268" s="553" t="s">
        <v>1200</v>
      </c>
      <c r="J268" s="477"/>
      <c r="K268" s="1371"/>
      <c r="L268" s="136"/>
      <c r="M268" s="258"/>
      <c r="N268" s="251"/>
      <c r="O268" s="1487"/>
      <c r="P268" s="1487"/>
    </row>
    <row r="269" spans="1:16" s="14433" customFormat="1" ht="0.75" hidden="1" customHeight="1">
      <c r="A269" s="1642"/>
      <c r="B269" s="1642"/>
      <c r="C269" s="284" t="s">
        <v>1208</v>
      </c>
      <c r="D269" s="16273"/>
      <c r="E269" s="16079"/>
      <c r="F269" s="16217"/>
      <c r="G269" s="315"/>
      <c r="H269" s="1371"/>
      <c r="I269" s="553"/>
      <c r="J269" s="477"/>
      <c r="K269" s="1371"/>
      <c r="L269" s="136"/>
      <c r="M269" s="258"/>
      <c r="N269" s="251"/>
      <c r="O269" s="1487"/>
      <c r="P269" s="1487"/>
    </row>
    <row r="270" spans="1:16" s="14433" customFormat="1" ht="18.75" hidden="1" customHeight="1">
      <c r="A270" s="1642" t="s">
        <v>412</v>
      </c>
      <c r="B270" s="1642" t="s">
        <v>413</v>
      </c>
      <c r="C270" s="284"/>
      <c r="D270" s="16273"/>
      <c r="E270" s="16079"/>
      <c r="F270" s="16217" t="str">
        <f>INDEX(PT_DIFFERENTIATION_VTAR,MATCH(A270,PT_DIFFERENTIATION_VTAR_ID,0))</f>
        <v>Тариф на подключение (технологическое присоединение) к централизованной системе водоотведения</v>
      </c>
      <c r="G270" s="16245" t="str">
        <f>INDEX(PT_DIFFERENTIATION_NTAR,MATCH(B270,PT_DIFFERENTIATION_NTAR_ID,0))</f>
        <v/>
      </c>
      <c r="H270" s="1723"/>
      <c r="I270" s="1601"/>
      <c r="J270" s="1635"/>
      <c r="K270" s="1640"/>
      <c r="L270" s="1723" t="s">
        <v>443</v>
      </c>
      <c r="M270" s="258"/>
      <c r="N270" s="251"/>
      <c r="O270" s="1487"/>
      <c r="P270" s="1487"/>
    </row>
    <row r="271" spans="1:16" s="14433" customFormat="1" ht="18.75" hidden="1" customHeight="1">
      <c r="A271" s="1642"/>
      <c r="B271" s="1642"/>
      <c r="C271" s="284" t="s">
        <v>1201</v>
      </c>
      <c r="D271" s="16273"/>
      <c r="E271" s="16079"/>
      <c r="F271" s="16217"/>
      <c r="G271" s="16245"/>
      <c r="H271" s="1371"/>
      <c r="I271" s="553" t="s">
        <v>1200</v>
      </c>
      <c r="J271" s="477"/>
      <c r="K271" s="1371"/>
      <c r="L271" s="136"/>
      <c r="M271" s="258"/>
      <c r="N271" s="251"/>
      <c r="O271" s="1487"/>
      <c r="P271" s="1487"/>
    </row>
    <row r="272" spans="1:16" s="14433" customFormat="1" ht="0.75" customHeight="1">
      <c r="A272" s="1642"/>
      <c r="B272" s="1642"/>
      <c r="C272" s="284" t="s">
        <v>1208</v>
      </c>
      <c r="D272" s="16273"/>
      <c r="E272" s="16079"/>
      <c r="F272" s="16217"/>
      <c r="G272" s="315"/>
      <c r="H272" s="1371"/>
      <c r="I272" s="553"/>
      <c r="J272" s="477"/>
      <c r="K272" s="1371"/>
      <c r="L272" s="136"/>
      <c r="M272" s="258"/>
      <c r="N272" s="251"/>
      <c r="O272" s="1487"/>
      <c r="P272" s="1487"/>
    </row>
    <row r="273" spans="1:16" ht="25.5" customHeight="1">
      <c r="A273" s="1642"/>
      <c r="B273" s="1642"/>
      <c r="D273" s="291"/>
      <c r="E273" s="73" t="s">
        <v>91</v>
      </c>
      <c r="F273" s="162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16272"/>
      <c r="H273" s="16272"/>
      <c r="I273" s="16272"/>
      <c r="J273" s="16272"/>
      <c r="K273" s="16272"/>
      <c r="L273" s="16272"/>
      <c r="M273" s="214"/>
      <c r="N273" s="251"/>
    </row>
    <row r="274" spans="1:16" s="14433" customFormat="1" ht="60.75" hidden="1" customHeight="1">
      <c r="A274" s="1642" t="s">
        <v>186</v>
      </c>
      <c r="B274" s="1642" t="s">
        <v>187</v>
      </c>
      <c r="C274" s="284"/>
      <c r="D274" s="16273"/>
      <c r="E274" s="16079"/>
      <c r="F274" s="16217"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16245" t="str">
        <f>INDEX(PT_DIFFERENTIATION_NTAR,MATCH(B274,PT_DIFFERENTIATION_NTAR_ID,0))</f>
        <v/>
      </c>
      <c r="H274" s="1723"/>
      <c r="I274" s="1601"/>
      <c r="J274" s="1635"/>
      <c r="K274" s="1640"/>
      <c r="L274" s="1723" t="s">
        <v>443</v>
      </c>
      <c r="M274" s="160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251"/>
      <c r="O274" s="1487"/>
      <c r="P274" s="1487"/>
    </row>
    <row r="275" spans="1:16" s="14433" customFormat="1" ht="18.75" hidden="1" customHeight="1">
      <c r="A275" s="1642"/>
      <c r="B275" s="1642"/>
      <c r="C275" s="284" t="s">
        <v>1201</v>
      </c>
      <c r="D275" s="16273"/>
      <c r="E275" s="16079"/>
      <c r="F275" s="16217"/>
      <c r="G275" s="16245"/>
      <c r="H275" s="1371"/>
      <c r="I275" s="553" t="s">
        <v>1200</v>
      </c>
      <c r="J275" s="477"/>
      <c r="K275" s="1371"/>
      <c r="L275" s="136"/>
      <c r="M275" s="16033"/>
      <c r="N275" s="251"/>
      <c r="O275" s="1487"/>
      <c r="P275" s="1487"/>
    </row>
    <row r="276" spans="1:16" s="14433" customFormat="1" ht="0.75" hidden="1" customHeight="1">
      <c r="A276" s="1642"/>
      <c r="B276" s="1642"/>
      <c r="C276" s="284" t="s">
        <v>1208</v>
      </c>
      <c r="D276" s="16273"/>
      <c r="E276" s="16079"/>
      <c r="F276" s="16217"/>
      <c r="G276" s="315"/>
      <c r="H276" s="1371"/>
      <c r="I276" s="553"/>
      <c r="J276" s="477"/>
      <c r="K276" s="1371"/>
      <c r="L276" s="136"/>
      <c r="M276" s="16033"/>
      <c r="N276" s="251"/>
      <c r="O276" s="1487"/>
      <c r="P276" s="1487"/>
    </row>
    <row r="277" spans="1:16" s="14433" customFormat="1" ht="45" hidden="1" customHeight="1">
      <c r="A277" s="1642" t="s">
        <v>192</v>
      </c>
      <c r="B277" s="1642" t="s">
        <v>193</v>
      </c>
      <c r="C277" s="284"/>
      <c r="D277" s="16273"/>
      <c r="E277" s="16079"/>
      <c r="F277" s="16217"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16245" t="str">
        <f>INDEX(PT_DIFFERENTIATION_NTAR,MATCH(B277,PT_DIFFERENTIATION_NTAR_ID,0))</f>
        <v/>
      </c>
      <c r="H277" s="1723"/>
      <c r="I277" s="1601"/>
      <c r="J277" s="1635"/>
      <c r="K277" s="1640"/>
      <c r="L277" s="1723" t="s">
        <v>443</v>
      </c>
      <c r="M277" s="16034"/>
      <c r="N277" s="251"/>
      <c r="O277" s="1487"/>
      <c r="P277" s="1487"/>
    </row>
    <row r="278" spans="1:16" s="14433" customFormat="1" ht="18.75" hidden="1" customHeight="1">
      <c r="A278" s="1642"/>
      <c r="B278" s="1642"/>
      <c r="C278" s="284" t="s">
        <v>1201</v>
      </c>
      <c r="D278" s="16273"/>
      <c r="E278" s="16079"/>
      <c r="F278" s="16217"/>
      <c r="G278" s="16245"/>
      <c r="H278" s="1371"/>
      <c r="I278" s="553" t="s">
        <v>1200</v>
      </c>
      <c r="J278" s="477"/>
      <c r="K278" s="1371"/>
      <c r="L278" s="136"/>
      <c r="M278" s="1722"/>
      <c r="N278" s="251"/>
      <c r="O278" s="1487"/>
      <c r="P278" s="1487"/>
    </row>
    <row r="279" spans="1:16" s="14433" customFormat="1" ht="0.75" hidden="1" customHeight="1">
      <c r="A279" s="1642"/>
      <c r="B279" s="1642"/>
      <c r="C279" s="284" t="s">
        <v>1208</v>
      </c>
      <c r="D279" s="16273"/>
      <c r="E279" s="16079"/>
      <c r="F279" s="16217"/>
      <c r="G279" s="315"/>
      <c r="H279" s="1371"/>
      <c r="I279" s="553"/>
      <c r="J279" s="477"/>
      <c r="K279" s="1371"/>
      <c r="L279" s="136"/>
      <c r="M279" s="258"/>
      <c r="N279" s="251"/>
      <c r="O279" s="1487"/>
      <c r="P279" s="1487"/>
    </row>
    <row r="280" spans="1:16" s="14433" customFormat="1" ht="45" hidden="1" customHeight="1">
      <c r="A280" s="1642" t="s">
        <v>198</v>
      </c>
      <c r="B280" s="1642" t="s">
        <v>199</v>
      </c>
      <c r="C280" s="284"/>
      <c r="D280" s="16273"/>
      <c r="E280" s="16079"/>
      <c r="F280" s="16217"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16245" t="str">
        <f>INDEX(PT_DIFFERENTIATION_NTAR,MATCH(B280,PT_DIFFERENTIATION_NTAR_ID,0))</f>
        <v/>
      </c>
      <c r="H280" s="1723"/>
      <c r="I280" s="1601"/>
      <c r="J280" s="1635"/>
      <c r="K280" s="1640"/>
      <c r="L280" s="1723" t="s">
        <v>443</v>
      </c>
      <c r="M280" s="258"/>
      <c r="N280" s="251"/>
      <c r="O280" s="1487"/>
      <c r="P280" s="1487"/>
    </row>
    <row r="281" spans="1:16" s="14433" customFormat="1" ht="18.75" hidden="1" customHeight="1">
      <c r="A281" s="1642"/>
      <c r="B281" s="1642"/>
      <c r="C281" s="284" t="s">
        <v>1201</v>
      </c>
      <c r="D281" s="16273"/>
      <c r="E281" s="16079"/>
      <c r="F281" s="16217"/>
      <c r="G281" s="16245"/>
      <c r="H281" s="1371"/>
      <c r="I281" s="553" t="s">
        <v>1200</v>
      </c>
      <c r="J281" s="477"/>
      <c r="K281" s="1371"/>
      <c r="L281" s="136"/>
      <c r="M281" s="258"/>
      <c r="N281" s="251"/>
      <c r="O281" s="1487"/>
      <c r="P281" s="1487"/>
    </row>
    <row r="282" spans="1:16" s="14433" customFormat="1" ht="0.75" hidden="1" customHeight="1">
      <c r="A282" s="1642"/>
      <c r="B282" s="1642"/>
      <c r="C282" s="284" t="s">
        <v>1208</v>
      </c>
      <c r="D282" s="16273"/>
      <c r="E282" s="16079"/>
      <c r="F282" s="16217"/>
      <c r="G282" s="315"/>
      <c r="H282" s="1371"/>
      <c r="I282" s="553"/>
      <c r="J282" s="477"/>
      <c r="K282" s="1371"/>
      <c r="L282" s="136"/>
      <c r="M282" s="258"/>
      <c r="N282" s="251"/>
      <c r="O282" s="1487"/>
      <c r="P282" s="1487"/>
    </row>
    <row r="283" spans="1:16" s="14433" customFormat="1" ht="45" hidden="1" customHeight="1">
      <c r="A283" s="1642" t="s">
        <v>204</v>
      </c>
      <c r="B283" s="1642" t="s">
        <v>205</v>
      </c>
      <c r="C283" s="284"/>
      <c r="D283" s="16273"/>
      <c r="E283" s="16079"/>
      <c r="F283" s="16217"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16245" t="str">
        <f>INDEX(PT_DIFFERENTIATION_NTAR,MATCH(B283,PT_DIFFERENTIATION_NTAR_ID,0))</f>
        <v/>
      </c>
      <c r="H283" s="1723"/>
      <c r="I283" s="1601"/>
      <c r="J283" s="1635"/>
      <c r="K283" s="1640"/>
      <c r="L283" s="1723" t="s">
        <v>443</v>
      </c>
      <c r="M283" s="258"/>
      <c r="N283" s="251"/>
      <c r="O283" s="1487"/>
      <c r="P283" s="1487"/>
    </row>
    <row r="284" spans="1:16" s="14433" customFormat="1" ht="18.75" hidden="1" customHeight="1">
      <c r="A284" s="1642"/>
      <c r="B284" s="1642"/>
      <c r="C284" s="284" t="s">
        <v>1201</v>
      </c>
      <c r="D284" s="16273"/>
      <c r="E284" s="16079"/>
      <c r="F284" s="16217"/>
      <c r="G284" s="16245"/>
      <c r="H284" s="1371"/>
      <c r="I284" s="553" t="s">
        <v>1200</v>
      </c>
      <c r="J284" s="477"/>
      <c r="K284" s="1371"/>
      <c r="L284" s="136"/>
      <c r="M284" s="258"/>
      <c r="N284" s="251"/>
      <c r="O284" s="1487"/>
      <c r="P284" s="1487"/>
    </row>
    <row r="285" spans="1:16" s="14433" customFormat="1" ht="0.75" hidden="1" customHeight="1">
      <c r="A285" s="1642"/>
      <c r="B285" s="1642"/>
      <c r="C285" s="284" t="s">
        <v>1208</v>
      </c>
      <c r="D285" s="16273"/>
      <c r="E285" s="16079"/>
      <c r="F285" s="16217"/>
      <c r="G285" s="315"/>
      <c r="H285" s="1371"/>
      <c r="I285" s="553"/>
      <c r="J285" s="477"/>
      <c r="K285" s="1371"/>
      <c r="L285" s="136"/>
      <c r="M285" s="258"/>
      <c r="N285" s="251"/>
      <c r="O285" s="1487"/>
      <c r="P285" s="1487"/>
    </row>
    <row r="286" spans="1:16" s="14433" customFormat="1" ht="18.75" hidden="1" customHeight="1">
      <c r="A286" s="1642" t="s">
        <v>210</v>
      </c>
      <c r="B286" s="1642" t="s">
        <v>211</v>
      </c>
      <c r="C286" s="284"/>
      <c r="D286" s="16273"/>
      <c r="E286" s="16079"/>
      <c r="F286" s="16217" t="str">
        <f>INDEX(PT_DIFFERENTIATION_VTAR,MATCH(A286,PT_DIFFERENTIATION_VTAR_ID,0))</f>
        <v>Тарифы на услуги по передаче тепловой энергии</v>
      </c>
      <c r="G286" s="16245" t="str">
        <f>INDEX(PT_DIFFERENTIATION_NTAR,MATCH(B286,PT_DIFFERENTIATION_NTAR_ID,0))</f>
        <v/>
      </c>
      <c r="H286" s="1723"/>
      <c r="I286" s="1601"/>
      <c r="J286" s="1635"/>
      <c r="K286" s="1640"/>
      <c r="L286" s="1723" t="s">
        <v>443</v>
      </c>
      <c r="M286" s="258"/>
      <c r="N286" s="251"/>
      <c r="O286" s="1487"/>
      <c r="P286" s="1487"/>
    </row>
    <row r="287" spans="1:16" s="14433" customFormat="1" ht="18.75" hidden="1" customHeight="1">
      <c r="A287" s="1642"/>
      <c r="B287" s="1642"/>
      <c r="C287" s="284" t="s">
        <v>1201</v>
      </c>
      <c r="D287" s="16273"/>
      <c r="E287" s="16079"/>
      <c r="F287" s="16217"/>
      <c r="G287" s="16245"/>
      <c r="H287" s="1371"/>
      <c r="I287" s="553" t="s">
        <v>1200</v>
      </c>
      <c r="J287" s="477"/>
      <c r="K287" s="1371"/>
      <c r="L287" s="136"/>
      <c r="M287" s="258"/>
      <c r="N287" s="251"/>
      <c r="O287" s="1487"/>
      <c r="P287" s="1487"/>
    </row>
    <row r="288" spans="1:16" s="14433" customFormat="1" ht="0.75" hidden="1" customHeight="1">
      <c r="A288" s="1642"/>
      <c r="B288" s="1642"/>
      <c r="C288" s="284" t="s">
        <v>1208</v>
      </c>
      <c r="D288" s="16273"/>
      <c r="E288" s="16079"/>
      <c r="F288" s="16217"/>
      <c r="G288" s="315"/>
      <c r="H288" s="1371"/>
      <c r="I288" s="553"/>
      <c r="J288" s="477"/>
      <c r="K288" s="1371"/>
      <c r="L288" s="136"/>
      <c r="M288" s="258"/>
      <c r="N288" s="251"/>
      <c r="O288" s="1487"/>
      <c r="P288" s="1487"/>
    </row>
    <row r="289" spans="1:16" s="14433" customFormat="1" ht="18.75" hidden="1" customHeight="1">
      <c r="A289" s="1642" t="s">
        <v>216</v>
      </c>
      <c r="B289" s="1642" t="s">
        <v>217</v>
      </c>
      <c r="C289" s="284"/>
      <c r="D289" s="16273"/>
      <c r="E289" s="16079"/>
      <c r="F289" s="16217" t="str">
        <f>INDEX(PT_DIFFERENTIATION_VTAR,MATCH(A289,PT_DIFFERENTIATION_VTAR_ID,0))</f>
        <v>Тарифы на услуги по передаче теплоносителя</v>
      </c>
      <c r="G289" s="16245" t="str">
        <f>INDEX(PT_DIFFERENTIATION_NTAR,MATCH(B289,PT_DIFFERENTIATION_NTAR_ID,0))</f>
        <v/>
      </c>
      <c r="H289" s="1723"/>
      <c r="I289" s="1601"/>
      <c r="J289" s="1635"/>
      <c r="K289" s="1640"/>
      <c r="L289" s="1723" t="s">
        <v>443</v>
      </c>
      <c r="M289" s="258"/>
      <c r="N289" s="251"/>
      <c r="O289" s="1487"/>
      <c r="P289" s="1487"/>
    </row>
    <row r="290" spans="1:16" s="14433" customFormat="1" ht="18.75" hidden="1" customHeight="1">
      <c r="A290" s="1642"/>
      <c r="B290" s="1642"/>
      <c r="C290" s="284" t="s">
        <v>1201</v>
      </c>
      <c r="D290" s="16273"/>
      <c r="E290" s="16079"/>
      <c r="F290" s="16217"/>
      <c r="G290" s="16245"/>
      <c r="H290" s="1371"/>
      <c r="I290" s="553" t="s">
        <v>1200</v>
      </c>
      <c r="J290" s="477"/>
      <c r="K290" s="1371"/>
      <c r="L290" s="136"/>
      <c r="M290" s="258"/>
      <c r="N290" s="251"/>
      <c r="O290" s="1487"/>
      <c r="P290" s="1487"/>
    </row>
    <row r="291" spans="1:16" s="14433" customFormat="1" ht="0.75" hidden="1" customHeight="1">
      <c r="A291" s="1642"/>
      <c r="B291" s="1642"/>
      <c r="C291" s="284" t="s">
        <v>1208</v>
      </c>
      <c r="D291" s="16273"/>
      <c r="E291" s="16079"/>
      <c r="F291" s="16217"/>
      <c r="G291" s="315"/>
      <c r="H291" s="1371"/>
      <c r="I291" s="553"/>
      <c r="J291" s="477"/>
      <c r="K291" s="1371"/>
      <c r="L291" s="136"/>
      <c r="M291" s="258"/>
      <c r="N291" s="251"/>
      <c r="O291" s="1487"/>
      <c r="P291" s="1487"/>
    </row>
    <row r="292" spans="1:16" s="14433" customFormat="1" ht="18.75" hidden="1" customHeight="1">
      <c r="A292" s="1642" t="s">
        <v>222</v>
      </c>
      <c r="B292" s="1642" t="s">
        <v>223</v>
      </c>
      <c r="C292" s="284"/>
      <c r="D292" s="16273"/>
      <c r="E292" s="16079"/>
      <c r="F292" s="16217" t="str">
        <f>INDEX(PT_DIFFERENTIATION_VTAR,MATCH(A292,PT_DIFFERENTIATION_VTAR_ID,0))</f>
        <v>Плата за услуги по поддержанию резервной тепловой мощности при отсутствии потребления тепловой энергии</v>
      </c>
      <c r="G292" s="16245" t="str">
        <f>INDEX(PT_DIFFERENTIATION_NTAR,MATCH(B292,PT_DIFFERENTIATION_NTAR_ID,0))</f>
        <v/>
      </c>
      <c r="H292" s="1723"/>
      <c r="I292" s="1601"/>
      <c r="J292" s="1635"/>
      <c r="K292" s="1640"/>
      <c r="L292" s="1723" t="s">
        <v>443</v>
      </c>
      <c r="M292" s="258"/>
      <c r="N292" s="251"/>
      <c r="O292" s="1487"/>
      <c r="P292" s="1487"/>
    </row>
    <row r="293" spans="1:16" s="14433" customFormat="1" ht="18.75" hidden="1" customHeight="1">
      <c r="A293" s="1642"/>
      <c r="B293" s="1642"/>
      <c r="C293" s="284" t="s">
        <v>1201</v>
      </c>
      <c r="D293" s="16273"/>
      <c r="E293" s="16079"/>
      <c r="F293" s="16217"/>
      <c r="G293" s="16245"/>
      <c r="H293" s="1371"/>
      <c r="I293" s="553" t="s">
        <v>1200</v>
      </c>
      <c r="J293" s="477"/>
      <c r="K293" s="1371"/>
      <c r="L293" s="136"/>
      <c r="M293" s="258"/>
      <c r="N293" s="251"/>
      <c r="O293" s="1487"/>
      <c r="P293" s="1487"/>
    </row>
    <row r="294" spans="1:16" s="14433" customFormat="1" ht="0.75" hidden="1" customHeight="1">
      <c r="A294" s="1642"/>
      <c r="B294" s="1642"/>
      <c r="C294" s="284" t="s">
        <v>1208</v>
      </c>
      <c r="D294" s="16273"/>
      <c r="E294" s="16079"/>
      <c r="F294" s="16217"/>
      <c r="G294" s="315"/>
      <c r="H294" s="1371"/>
      <c r="I294" s="553"/>
      <c r="J294" s="477"/>
      <c r="K294" s="1371"/>
      <c r="L294" s="136"/>
      <c r="M294" s="258"/>
      <c r="N294" s="251"/>
      <c r="O294" s="1487"/>
      <c r="P294" s="1487"/>
    </row>
    <row r="295" spans="1:16" s="14433" customFormat="1" ht="18.75" hidden="1" customHeight="1">
      <c r="A295" s="1642" t="s">
        <v>228</v>
      </c>
      <c r="B295" s="1642" t="s">
        <v>229</v>
      </c>
      <c r="C295" s="284"/>
      <c r="D295" s="16273"/>
      <c r="E295" s="16079"/>
      <c r="F295" s="16217" t="str">
        <f>INDEX(PT_DIFFERENTIATION_VTAR,MATCH(A295,PT_DIFFERENTIATION_VTAR_ID,0))</f>
        <v>Плата за подключение (технологическое присоединение) к системе теплоснабжения</v>
      </c>
      <c r="G295" s="16245" t="str">
        <f>INDEX(PT_DIFFERENTIATION_NTAR,MATCH(B295,PT_DIFFERENTIATION_NTAR_ID,0))</f>
        <v/>
      </c>
      <c r="H295" s="1723"/>
      <c r="I295" s="1601"/>
      <c r="J295" s="1635"/>
      <c r="K295" s="1640"/>
      <c r="L295" s="1723" t="s">
        <v>443</v>
      </c>
      <c r="M295" s="258"/>
      <c r="N295" s="251"/>
      <c r="O295" s="1487"/>
      <c r="P295" s="1487"/>
    </row>
    <row r="296" spans="1:16" s="14433" customFormat="1" ht="18.75" hidden="1" customHeight="1">
      <c r="A296" s="1642"/>
      <c r="B296" s="1642"/>
      <c r="C296" s="284" t="s">
        <v>1201</v>
      </c>
      <c r="D296" s="16273"/>
      <c r="E296" s="16079"/>
      <c r="F296" s="16217"/>
      <c r="G296" s="16245"/>
      <c r="H296" s="1371"/>
      <c r="I296" s="553" t="s">
        <v>1200</v>
      </c>
      <c r="J296" s="477"/>
      <c r="K296" s="1371"/>
      <c r="L296" s="136"/>
      <c r="M296" s="258"/>
      <c r="N296" s="251"/>
      <c r="O296" s="1487"/>
      <c r="P296" s="1487"/>
    </row>
    <row r="297" spans="1:16" s="14433" customFormat="1" ht="0.75" hidden="1" customHeight="1">
      <c r="A297" s="1642"/>
      <c r="B297" s="1642"/>
      <c r="C297" s="284" t="s">
        <v>1208</v>
      </c>
      <c r="D297" s="16273"/>
      <c r="E297" s="16079"/>
      <c r="F297" s="16217"/>
      <c r="G297" s="315"/>
      <c r="H297" s="1371"/>
      <c r="I297" s="553"/>
      <c r="J297" s="477"/>
      <c r="K297" s="1371"/>
      <c r="L297" s="136"/>
      <c r="M297" s="258"/>
      <c r="N297" s="251"/>
      <c r="O297" s="1487"/>
      <c r="P297" s="1487"/>
    </row>
    <row r="298" spans="1:16" s="14433" customFormat="1" ht="18.75" hidden="1" customHeight="1">
      <c r="A298" s="1642" t="s">
        <v>254</v>
      </c>
      <c r="B298" s="1642" t="s">
        <v>255</v>
      </c>
      <c r="C298" s="284"/>
      <c r="D298" s="16273"/>
      <c r="E298" s="16079"/>
      <c r="F298" s="16217" t="str">
        <f>INDEX(PT_DIFFERENTIATION_VTAR,MATCH(A298,PT_DIFFERENTIATION_VTAR_ID,0))</f>
        <v>Тариф на питьевую воду (питьевое водоснабжение)</v>
      </c>
      <c r="G298" s="16245" t="str">
        <f>INDEX(PT_DIFFERENTIATION_NTAR,MATCH(B298,PT_DIFFERENTIATION_NTAR_ID,0))</f>
        <v/>
      </c>
      <c r="H298" s="1723"/>
      <c r="I298" s="1601"/>
      <c r="J298" s="1635"/>
      <c r="K298" s="1640"/>
      <c r="L298" s="1723" t="s">
        <v>443</v>
      </c>
      <c r="M298" s="258"/>
      <c r="N298" s="251"/>
      <c r="O298" s="1487"/>
      <c r="P298" s="1487"/>
    </row>
    <row r="299" spans="1:16" s="14433" customFormat="1" ht="18.75" hidden="1" customHeight="1">
      <c r="A299" s="1642"/>
      <c r="B299" s="1642"/>
      <c r="C299" s="284" t="s">
        <v>1201</v>
      </c>
      <c r="D299" s="16273"/>
      <c r="E299" s="16079"/>
      <c r="F299" s="16217"/>
      <c r="G299" s="16245"/>
      <c r="H299" s="1371"/>
      <c r="I299" s="553" t="s">
        <v>1200</v>
      </c>
      <c r="J299" s="477"/>
      <c r="K299" s="1371"/>
      <c r="L299" s="136"/>
      <c r="M299" s="258"/>
      <c r="N299" s="251"/>
      <c r="O299" s="1487"/>
      <c r="P299" s="1487"/>
    </row>
    <row r="300" spans="1:16" s="14433" customFormat="1" ht="0.75" hidden="1" customHeight="1">
      <c r="A300" s="1642"/>
      <c r="B300" s="1642"/>
      <c r="C300" s="284" t="s">
        <v>1208</v>
      </c>
      <c r="D300" s="16273"/>
      <c r="E300" s="16079"/>
      <c r="F300" s="16217"/>
      <c r="G300" s="315"/>
      <c r="H300" s="1371"/>
      <c r="I300" s="553"/>
      <c r="J300" s="477"/>
      <c r="K300" s="1371"/>
      <c r="L300" s="136"/>
      <c r="M300" s="258"/>
      <c r="N300" s="251"/>
      <c r="O300" s="1487"/>
      <c r="P300" s="1487"/>
    </row>
    <row r="301" spans="1:16" s="14433" customFormat="1" ht="18.75" hidden="1" customHeight="1">
      <c r="A301" s="1642" t="s">
        <v>259</v>
      </c>
      <c r="B301" s="1642" t="s">
        <v>260</v>
      </c>
      <c r="C301" s="284"/>
      <c r="D301" s="16273"/>
      <c r="E301" s="16079"/>
      <c r="F301" s="16217" t="str">
        <f>INDEX(PT_DIFFERENTIATION_VTAR,MATCH(A301,PT_DIFFERENTIATION_VTAR_ID,0))</f>
        <v>Тариф на техническую воду</v>
      </c>
      <c r="G301" s="16245" t="str">
        <f>INDEX(PT_DIFFERENTIATION_NTAR,MATCH(B301,PT_DIFFERENTIATION_NTAR_ID,0))</f>
        <v/>
      </c>
      <c r="H301" s="1723"/>
      <c r="I301" s="1601"/>
      <c r="J301" s="1635"/>
      <c r="K301" s="1640"/>
      <c r="L301" s="1723" t="s">
        <v>443</v>
      </c>
      <c r="M301" s="258"/>
      <c r="N301" s="251"/>
      <c r="O301" s="1487"/>
      <c r="P301" s="1487"/>
    </row>
    <row r="302" spans="1:16" s="14433" customFormat="1" ht="18.75" hidden="1" customHeight="1">
      <c r="A302" s="1642"/>
      <c r="B302" s="1642"/>
      <c r="C302" s="284" t="s">
        <v>1201</v>
      </c>
      <c r="D302" s="16273"/>
      <c r="E302" s="16079"/>
      <c r="F302" s="16217"/>
      <c r="G302" s="16245"/>
      <c r="H302" s="1371"/>
      <c r="I302" s="553" t="s">
        <v>1200</v>
      </c>
      <c r="J302" s="477"/>
      <c r="K302" s="1371"/>
      <c r="L302" s="136"/>
      <c r="M302" s="258"/>
      <c r="N302" s="251"/>
      <c r="O302" s="1487"/>
      <c r="P302" s="1487"/>
    </row>
    <row r="303" spans="1:16" s="14433" customFormat="1" ht="0.75" hidden="1" customHeight="1">
      <c r="A303" s="1642"/>
      <c r="B303" s="1642"/>
      <c r="C303" s="284" t="s">
        <v>1208</v>
      </c>
      <c r="D303" s="16273"/>
      <c r="E303" s="16079"/>
      <c r="F303" s="16217"/>
      <c r="G303" s="315"/>
      <c r="H303" s="1371"/>
      <c r="I303" s="553"/>
      <c r="J303" s="477"/>
      <c r="K303" s="1371"/>
      <c r="L303" s="136"/>
      <c r="M303" s="258"/>
      <c r="N303" s="251"/>
      <c r="O303" s="1487"/>
      <c r="P303" s="1487"/>
    </row>
    <row r="304" spans="1:16" s="14433" customFormat="1" ht="18.75" hidden="1" customHeight="1">
      <c r="A304" s="1642" t="s">
        <v>264</v>
      </c>
      <c r="B304" s="1642" t="s">
        <v>265</v>
      </c>
      <c r="C304" s="284"/>
      <c r="D304" s="16273"/>
      <c r="E304" s="16079"/>
      <c r="F304" s="16217" t="str">
        <f>INDEX(PT_DIFFERENTIATION_VTAR,MATCH(A304,PT_DIFFERENTIATION_VTAR_ID,0))</f>
        <v>Тариф на транспортировку воды</v>
      </c>
      <c r="G304" s="16245" t="str">
        <f>INDEX(PT_DIFFERENTIATION_NTAR,MATCH(B304,PT_DIFFERENTIATION_NTAR_ID,0))</f>
        <v/>
      </c>
      <c r="H304" s="1723"/>
      <c r="I304" s="1601"/>
      <c r="J304" s="1635"/>
      <c r="K304" s="1640"/>
      <c r="L304" s="1723" t="s">
        <v>443</v>
      </c>
      <c r="M304" s="258"/>
      <c r="N304" s="251"/>
      <c r="O304" s="1487"/>
      <c r="P304" s="1487"/>
    </row>
    <row r="305" spans="1:33" s="14433" customFormat="1" ht="18.75" hidden="1" customHeight="1">
      <c r="A305" s="1642"/>
      <c r="B305" s="1642"/>
      <c r="C305" s="284" t="s">
        <v>1201</v>
      </c>
      <c r="D305" s="16273"/>
      <c r="E305" s="16079"/>
      <c r="F305" s="16217"/>
      <c r="G305" s="16245"/>
      <c r="H305" s="1371"/>
      <c r="I305" s="553" t="s">
        <v>1200</v>
      </c>
      <c r="J305" s="477"/>
      <c r="K305" s="1371"/>
      <c r="L305" s="136"/>
      <c r="M305" s="258"/>
      <c r="N305" s="251"/>
      <c r="O305" s="1487"/>
      <c r="P305" s="1487"/>
    </row>
    <row r="306" spans="1:33" s="14433" customFormat="1" ht="0.75" hidden="1" customHeight="1">
      <c r="A306" s="1642"/>
      <c r="B306" s="1642"/>
      <c r="C306" s="284" t="s">
        <v>1208</v>
      </c>
      <c r="D306" s="16273"/>
      <c r="E306" s="16079"/>
      <c r="F306" s="16217"/>
      <c r="G306" s="315"/>
      <c r="H306" s="1371"/>
      <c r="I306" s="553"/>
      <c r="J306" s="477"/>
      <c r="K306" s="1371"/>
      <c r="L306" s="136"/>
      <c r="M306" s="258"/>
      <c r="N306" s="251"/>
      <c r="O306" s="1487"/>
      <c r="P306" s="1487"/>
    </row>
    <row r="307" spans="1:33" s="14433" customFormat="1" ht="18.75" hidden="1" customHeight="1">
      <c r="A307" s="1642" t="s">
        <v>269</v>
      </c>
      <c r="B307" s="1642" t="s">
        <v>270</v>
      </c>
      <c r="C307" s="284"/>
      <c r="D307" s="16273"/>
      <c r="E307" s="16079"/>
      <c r="F307" s="16217" t="str">
        <f>INDEX(PT_DIFFERENTIATION_VTAR,MATCH(A307,PT_DIFFERENTIATION_VTAR_ID,0))</f>
        <v>Тариф на подвоз воды</v>
      </c>
      <c r="G307" s="16245" t="str">
        <f>INDEX(PT_DIFFERENTIATION_NTAR,MATCH(B307,PT_DIFFERENTIATION_NTAR_ID,0))</f>
        <v/>
      </c>
      <c r="H307" s="1723"/>
      <c r="I307" s="1601"/>
      <c r="J307" s="1635"/>
      <c r="K307" s="1640"/>
      <c r="L307" s="1723" t="s">
        <v>443</v>
      </c>
      <c r="M307" s="258"/>
      <c r="N307" s="251"/>
      <c r="O307" s="1487"/>
      <c r="P307" s="1487"/>
    </row>
    <row r="308" spans="1:33" s="14433" customFormat="1" ht="18.75" hidden="1" customHeight="1">
      <c r="A308" s="1642"/>
      <c r="B308" s="1642"/>
      <c r="C308" s="284" t="s">
        <v>1201</v>
      </c>
      <c r="D308" s="16273"/>
      <c r="E308" s="16079"/>
      <c r="F308" s="16217"/>
      <c r="G308" s="16245"/>
      <c r="H308" s="1371"/>
      <c r="I308" s="553" t="s">
        <v>1200</v>
      </c>
      <c r="J308" s="477"/>
      <c r="K308" s="1371"/>
      <c r="L308" s="136"/>
      <c r="M308" s="258"/>
      <c r="N308" s="251"/>
      <c r="O308" s="1487"/>
      <c r="P308" s="1487"/>
    </row>
    <row r="309" spans="1:33" s="14433" customFormat="1" ht="0.75" hidden="1" customHeight="1">
      <c r="A309" s="1642"/>
      <c r="B309" s="1642"/>
      <c r="C309" s="284" t="s">
        <v>1208</v>
      </c>
      <c r="D309" s="16273"/>
      <c r="E309" s="16079"/>
      <c r="F309" s="16217"/>
      <c r="G309" s="315"/>
      <c r="H309" s="1371"/>
      <c r="I309" s="553"/>
      <c r="J309" s="477"/>
      <c r="K309" s="1371"/>
      <c r="L309" s="136"/>
      <c r="M309" s="258"/>
      <c r="N309" s="251"/>
      <c r="O309" s="1487"/>
      <c r="P309" s="1487"/>
    </row>
    <row r="310" spans="1:33" s="14433" customFormat="1" ht="18.75" hidden="1" customHeight="1">
      <c r="A310" s="1642" t="s">
        <v>274</v>
      </c>
      <c r="B310" s="1642" t="s">
        <v>275</v>
      </c>
      <c r="C310" s="284"/>
      <c r="D310" s="16273"/>
      <c r="E310" s="16079"/>
      <c r="F310" s="16217" t="str">
        <f>INDEX(PT_DIFFERENTIATION_VTAR,MATCH(A310,PT_DIFFERENTIATION_VTAR_ID,0))</f>
        <v>Тариф на подключение (технологическое присоединение) к централизованной системе холодного водоснабжения</v>
      </c>
      <c r="G310" s="16245" t="str">
        <f>INDEX(PT_DIFFERENTIATION_NTAR,MATCH(B310,PT_DIFFERENTIATION_NTAR_ID,0))</f>
        <v/>
      </c>
      <c r="H310" s="1723"/>
      <c r="I310" s="1601"/>
      <c r="J310" s="1635"/>
      <c r="K310" s="1640"/>
      <c r="L310" s="1723" t="s">
        <v>443</v>
      </c>
      <c r="M310" s="258"/>
      <c r="N310" s="251"/>
      <c r="O310" s="1487"/>
      <c r="P310" s="1487"/>
    </row>
    <row r="311" spans="1:33" s="14433" customFormat="1" ht="18.75" hidden="1" customHeight="1">
      <c r="A311" s="1642"/>
      <c r="B311" s="1642"/>
      <c r="C311" s="284" t="s">
        <v>1201</v>
      </c>
      <c r="D311" s="16273"/>
      <c r="E311" s="16079"/>
      <c r="F311" s="16217"/>
      <c r="G311" s="16245"/>
      <c r="H311" s="1371"/>
      <c r="I311" s="553" t="s">
        <v>1200</v>
      </c>
      <c r="J311" s="477"/>
      <c r="K311" s="1371"/>
      <c r="L311" s="136"/>
      <c r="M311" s="258"/>
      <c r="N311" s="251"/>
      <c r="O311" s="1487"/>
      <c r="P311" s="1487"/>
    </row>
    <row r="312" spans="1:33" s="14433" customFormat="1" ht="0.75" hidden="1" customHeight="1">
      <c r="A312" s="1642"/>
      <c r="B312" s="1642"/>
      <c r="C312" s="284" t="s">
        <v>1208</v>
      </c>
      <c r="D312" s="16273"/>
      <c r="E312" s="16079"/>
      <c r="F312" s="16217"/>
      <c r="G312" s="315"/>
      <c r="H312" s="1371"/>
      <c r="I312" s="553"/>
      <c r="J312" s="477"/>
      <c r="K312" s="1371"/>
      <c r="L312" s="136"/>
      <c r="M312" s="258"/>
      <c r="N312" s="251"/>
      <c r="O312" s="1487"/>
      <c r="P312" s="1487"/>
    </row>
    <row r="313" spans="1:33" s="14433" customFormat="1" ht="18.75" hidden="1" customHeight="1">
      <c r="A313" s="1642" t="s">
        <v>283</v>
      </c>
      <c r="B313" s="1642" t="s">
        <v>284</v>
      </c>
      <c r="C313" s="284"/>
      <c r="D313" s="16273"/>
      <c r="E313" s="16079"/>
      <c r="F313" s="16217" t="str">
        <f>INDEX(PT_DIFFERENTIATION_VTAR,MATCH(A313,PT_DIFFERENTIATION_VTAR_ID,0))</f>
        <v>Тариф на горячую воду (горячее водоснабжение)</v>
      </c>
      <c r="G313" s="16245" t="str">
        <f>INDEX(PT_DIFFERENTIATION_NTAR,MATCH(B313,PT_DIFFERENTIATION_NTAR_ID,0))</f>
        <v>Тариф на горячую воду в закрытой системе горячего водоснабжения, поставляемую группе потребителей "население"</v>
      </c>
      <c r="H313" s="1723"/>
      <c r="I313" s="1601"/>
      <c r="J313" s="1635"/>
      <c r="K313" s="1640"/>
      <c r="L313" s="1723" t="s">
        <v>443</v>
      </c>
      <c r="M313" s="258"/>
      <c r="N313" s="251"/>
      <c r="O313" s="1487"/>
      <c r="P313" s="1487"/>
    </row>
    <row r="314" spans="1:33" s="14433" customFormat="1" ht="18.75" hidden="1" customHeight="1">
      <c r="A314" s="1642"/>
      <c r="B314" s="1642"/>
      <c r="C314" s="284" t="s">
        <v>1201</v>
      </c>
      <c r="D314" s="16273"/>
      <c r="E314" s="16079"/>
      <c r="F314" s="16217"/>
      <c r="G314" s="16245"/>
      <c r="H314" s="1371"/>
      <c r="I314" s="553" t="s">
        <v>1200</v>
      </c>
      <c r="J314" s="477"/>
      <c r="K314" s="1371"/>
      <c r="L314" s="136"/>
      <c r="M314" s="258"/>
      <c r="N314" s="251"/>
      <c r="O314" s="1487"/>
      <c r="P314" s="1487"/>
    </row>
    <row r="315" spans="1:33" s="15891" customFormat="1" ht="18.75" customHeight="1">
      <c r="A315" s="2775" t="s">
        <v>283</v>
      </c>
      <c r="B315" s="2775" t="s">
        <v>329</v>
      </c>
      <c r="C315" s="10455"/>
      <c r="D315" s="16274"/>
      <c r="E315" s="16275"/>
      <c r="F315" s="16275"/>
      <c r="G315" s="16245" t="str">
        <f>INDEX(PT_DIFFERENTIATION_NTAR,MATCH(B315,PT_DIFFERENTIATION_NTAR_ID,0))</f>
        <v>Тариф на горячую воду в закрытой системе горячего водоснабжения, поставляемую потребителям</v>
      </c>
      <c r="H315" s="2202"/>
      <c r="I315" s="10456"/>
      <c r="J315" s="10457"/>
      <c r="K315" s="10466"/>
      <c r="L315" s="2202" t="s">
        <v>443</v>
      </c>
      <c r="M315" s="10459"/>
      <c r="N315" s="10460"/>
      <c r="O315" s="2512"/>
      <c r="P315" s="2512"/>
      <c r="Q315" s="1892"/>
      <c r="R315" s="1892"/>
      <c r="S315" s="1892"/>
      <c r="T315" s="1892"/>
      <c r="U315" s="1892"/>
      <c r="V315" s="1892"/>
      <c r="W315" s="1892"/>
      <c r="X315" s="1892"/>
      <c r="Y315" s="1892"/>
      <c r="Z315" s="1892"/>
      <c r="AA315" s="1892"/>
      <c r="AB315" s="1892"/>
      <c r="AC315" s="1892"/>
      <c r="AD315" s="1892"/>
      <c r="AE315" s="1892"/>
      <c r="AF315" s="1892"/>
      <c r="AG315" s="1892"/>
    </row>
    <row r="316" spans="1:33" s="15891" customFormat="1" ht="18.75" customHeight="1">
      <c r="A316" s="2775"/>
      <c r="B316" s="2775"/>
      <c r="C316" s="10455" t="s">
        <v>1201</v>
      </c>
      <c r="D316" s="16274"/>
      <c r="E316" s="16275"/>
      <c r="F316" s="16275"/>
      <c r="G316" s="16245"/>
      <c r="H316" s="10482"/>
      <c r="I316" s="10483" t="s">
        <v>1200</v>
      </c>
      <c r="J316" s="10484"/>
      <c r="K316" s="10485"/>
      <c r="L316" s="10486"/>
      <c r="M316" s="10459"/>
      <c r="N316" s="10460"/>
      <c r="O316" s="2512"/>
      <c r="P316" s="2512"/>
      <c r="Q316" s="1892"/>
      <c r="R316" s="1892"/>
      <c r="S316" s="1892"/>
      <c r="T316" s="1892"/>
      <c r="U316" s="1892"/>
      <c r="V316" s="1892"/>
      <c r="W316" s="1892"/>
      <c r="X316" s="1892"/>
      <c r="Y316" s="1892"/>
      <c r="Z316" s="1892"/>
      <c r="AA316" s="1892"/>
      <c r="AB316" s="1892"/>
      <c r="AC316" s="1892"/>
      <c r="AD316" s="1892"/>
      <c r="AE316" s="1892"/>
      <c r="AF316" s="1892"/>
      <c r="AG316" s="1892"/>
    </row>
    <row r="317" spans="1:33" s="15893" customFormat="1" ht="18.75" customHeight="1">
      <c r="A317" s="10494" t="s">
        <v>283</v>
      </c>
      <c r="B317" s="10494" t="s">
        <v>360</v>
      </c>
      <c r="C317" s="14302"/>
      <c r="D317" s="16274"/>
      <c r="E317" s="16275"/>
      <c r="F317" s="16275"/>
      <c r="G317" s="16245" t="str">
        <f>INDEX(PT_DIFFERENTIATION_NTAR,MATCH(B317,PT_DIFFERENTIATION_NTAR_ID,0))</f>
        <v>Тариф на горячую воду в закрытой системе горячего водоснабжения, поставляемую группе потребителей "потребители (кроме населения)"</v>
      </c>
      <c r="H317" s="14303"/>
      <c r="I317" s="14304"/>
      <c r="J317" s="14305"/>
      <c r="K317" s="14315"/>
      <c r="L317" s="14303" t="s">
        <v>443</v>
      </c>
      <c r="M317" s="14307"/>
      <c r="N317" s="14308"/>
      <c r="O317" s="10501"/>
      <c r="P317" s="10501"/>
      <c r="Q317" s="14309"/>
      <c r="R317" s="14309"/>
      <c r="S317" s="14309"/>
      <c r="T317" s="14309"/>
      <c r="U317" s="14309"/>
      <c r="V317" s="14309"/>
      <c r="W317" s="14309"/>
      <c r="X317" s="14309"/>
      <c r="Y317" s="14309"/>
      <c r="Z317" s="14309"/>
      <c r="AA317" s="14309"/>
      <c r="AB317" s="14309"/>
      <c r="AC317" s="14309"/>
      <c r="AD317" s="14309"/>
      <c r="AE317" s="14309"/>
      <c r="AF317" s="14309"/>
      <c r="AG317" s="14309"/>
    </row>
    <row r="318" spans="1:33" s="15893" customFormat="1" ht="18.75" customHeight="1">
      <c r="A318" s="10494"/>
      <c r="B318" s="10494"/>
      <c r="C318" s="14302" t="s">
        <v>1201</v>
      </c>
      <c r="D318" s="16274"/>
      <c r="E318" s="16275"/>
      <c r="F318" s="16275"/>
      <c r="G318" s="16245"/>
      <c r="H318" s="14331"/>
      <c r="I318" s="14332" t="s">
        <v>1200</v>
      </c>
      <c r="J318" s="14333"/>
      <c r="K318" s="14334"/>
      <c r="L318" s="14335"/>
      <c r="M318" s="14307"/>
      <c r="N318" s="14308"/>
      <c r="O318" s="10501"/>
      <c r="P318" s="10501"/>
      <c r="Q318" s="14309"/>
      <c r="R318" s="14309"/>
      <c r="S318" s="14309"/>
      <c r="T318" s="14309"/>
      <c r="U318" s="14309"/>
      <c r="V318" s="14309"/>
      <c r="W318" s="14309"/>
      <c r="X318" s="14309"/>
      <c r="Y318" s="14309"/>
      <c r="Z318" s="14309"/>
      <c r="AA318" s="14309"/>
      <c r="AB318" s="14309"/>
      <c r="AC318" s="14309"/>
      <c r="AD318" s="14309"/>
      <c r="AE318" s="14309"/>
      <c r="AF318" s="14309"/>
      <c r="AG318" s="14309"/>
    </row>
    <row r="319" spans="1:33" s="14433" customFormat="1" ht="0.75" hidden="1" customHeight="1">
      <c r="A319" s="1642"/>
      <c r="B319" s="1642"/>
      <c r="C319" s="284" t="s">
        <v>1208</v>
      </c>
      <c r="D319" s="16273"/>
      <c r="E319" s="16079"/>
      <c r="F319" s="16217"/>
      <c r="G319" s="315"/>
      <c r="H319" s="1371"/>
      <c r="I319" s="553"/>
      <c r="J319" s="477"/>
      <c r="K319" s="1371"/>
      <c r="L319" s="136"/>
      <c r="M319" s="258"/>
      <c r="N319" s="251"/>
      <c r="O319" s="1487"/>
      <c r="P319" s="1487"/>
    </row>
    <row r="320" spans="1:33" s="14433" customFormat="1" ht="18.75" hidden="1" customHeight="1">
      <c r="A320" s="1642" t="s">
        <v>392</v>
      </c>
      <c r="B320" s="1642" t="s">
        <v>393</v>
      </c>
      <c r="C320" s="284"/>
      <c r="D320" s="16273"/>
      <c r="E320" s="16079"/>
      <c r="F320" s="16217" t="str">
        <f>INDEX(PT_DIFFERENTIATION_VTAR,MATCH(A320,PT_DIFFERENTIATION_VTAR_ID,0))</f>
        <v>Тариф на транспортировку горячей воды</v>
      </c>
      <c r="G320" s="16245" t="str">
        <f>INDEX(PT_DIFFERENTIATION_NTAR,MATCH(B320,PT_DIFFERENTIATION_NTAR_ID,0))</f>
        <v/>
      </c>
      <c r="H320" s="1723"/>
      <c r="I320" s="1601"/>
      <c r="J320" s="1635"/>
      <c r="K320" s="1640"/>
      <c r="L320" s="1723" t="s">
        <v>443</v>
      </c>
      <c r="M320" s="258"/>
      <c r="N320" s="251"/>
      <c r="O320" s="1487"/>
      <c r="P320" s="1487"/>
    </row>
    <row r="321" spans="1:16" s="14433" customFormat="1" ht="18.75" hidden="1" customHeight="1">
      <c r="A321" s="1642"/>
      <c r="B321" s="1642"/>
      <c r="C321" s="284" t="s">
        <v>1201</v>
      </c>
      <c r="D321" s="16273"/>
      <c r="E321" s="16079"/>
      <c r="F321" s="16217"/>
      <c r="G321" s="16245"/>
      <c r="H321" s="1371"/>
      <c r="I321" s="553" t="s">
        <v>1200</v>
      </c>
      <c r="J321" s="477"/>
      <c r="K321" s="1371"/>
      <c r="L321" s="136"/>
      <c r="M321" s="258"/>
      <c r="N321" s="251"/>
      <c r="O321" s="1487"/>
      <c r="P321" s="1487"/>
    </row>
    <row r="322" spans="1:16" s="14433" customFormat="1" ht="0.75" hidden="1" customHeight="1">
      <c r="A322" s="1642"/>
      <c r="B322" s="1642"/>
      <c r="C322" s="284" t="s">
        <v>1208</v>
      </c>
      <c r="D322" s="16273"/>
      <c r="E322" s="16079"/>
      <c r="F322" s="16217"/>
      <c r="G322" s="315"/>
      <c r="H322" s="1371"/>
      <c r="I322" s="553"/>
      <c r="J322" s="477"/>
      <c r="K322" s="1371"/>
      <c r="L322" s="136"/>
      <c r="M322" s="258"/>
      <c r="N322" s="251"/>
      <c r="O322" s="1487"/>
      <c r="P322" s="1487"/>
    </row>
    <row r="323" spans="1:16" s="14433" customFormat="1" ht="18.75" hidden="1" customHeight="1">
      <c r="A323" s="1642" t="s">
        <v>397</v>
      </c>
      <c r="B323" s="1642" t="s">
        <v>398</v>
      </c>
      <c r="C323" s="284"/>
      <c r="D323" s="16273"/>
      <c r="E323" s="16079"/>
      <c r="F323" s="16217" t="str">
        <f>INDEX(PT_DIFFERENTIATION_VTAR,MATCH(A323,PT_DIFFERENTIATION_VTAR_ID,0))</f>
        <v>Тариф на подключение (технологическое присоединение) к централизованной системе горячего водоснабжения</v>
      </c>
      <c r="G323" s="16245" t="str">
        <f>INDEX(PT_DIFFERENTIATION_NTAR,MATCH(B323,PT_DIFFERENTIATION_NTAR_ID,0))</f>
        <v/>
      </c>
      <c r="H323" s="1723"/>
      <c r="I323" s="1601"/>
      <c r="J323" s="1635"/>
      <c r="K323" s="1640"/>
      <c r="L323" s="1723" t="s">
        <v>443</v>
      </c>
      <c r="M323" s="258"/>
      <c r="N323" s="251"/>
      <c r="O323" s="1487"/>
      <c r="P323" s="1487"/>
    </row>
    <row r="324" spans="1:16" s="14433" customFormat="1" ht="18.75" hidden="1" customHeight="1">
      <c r="A324" s="1642"/>
      <c r="B324" s="1642"/>
      <c r="C324" s="284" t="s">
        <v>1201</v>
      </c>
      <c r="D324" s="16273"/>
      <c r="E324" s="16079"/>
      <c r="F324" s="16217"/>
      <c r="G324" s="16245"/>
      <c r="H324" s="1371"/>
      <c r="I324" s="553" t="s">
        <v>1200</v>
      </c>
      <c r="J324" s="477"/>
      <c r="K324" s="1371"/>
      <c r="L324" s="136"/>
      <c r="M324" s="258"/>
      <c r="N324" s="251"/>
      <c r="O324" s="1487"/>
      <c r="P324" s="1487"/>
    </row>
    <row r="325" spans="1:16" s="14433" customFormat="1" ht="0.75" hidden="1" customHeight="1">
      <c r="A325" s="1642"/>
      <c r="B325" s="1642"/>
      <c r="C325" s="284" t="s">
        <v>1208</v>
      </c>
      <c r="D325" s="16273"/>
      <c r="E325" s="16079"/>
      <c r="F325" s="16217"/>
      <c r="G325" s="315"/>
      <c r="H325" s="1371"/>
      <c r="I325" s="553"/>
      <c r="J325" s="477"/>
      <c r="K325" s="1371"/>
      <c r="L325" s="136"/>
      <c r="M325" s="258"/>
      <c r="N325" s="251"/>
      <c r="O325" s="1487"/>
      <c r="P325" s="1487"/>
    </row>
    <row r="326" spans="1:16" s="14433" customFormat="1" ht="18.75" hidden="1" customHeight="1">
      <c r="A326" s="1642" t="s">
        <v>402</v>
      </c>
      <c r="B326" s="1642" t="s">
        <v>403</v>
      </c>
      <c r="C326" s="284"/>
      <c r="D326" s="16273"/>
      <c r="E326" s="16079"/>
      <c r="F326" s="16217" t="str">
        <f>INDEX(PT_DIFFERENTIATION_VTAR,MATCH(A326,PT_DIFFERENTIATION_VTAR_ID,0))</f>
        <v>Тариф на водоотведение</v>
      </c>
      <c r="G326" s="16245" t="str">
        <f>INDEX(PT_DIFFERENTIATION_NTAR,MATCH(B326,PT_DIFFERENTIATION_NTAR_ID,0))</f>
        <v/>
      </c>
      <c r="H326" s="1723"/>
      <c r="I326" s="1601"/>
      <c r="J326" s="1635"/>
      <c r="K326" s="1640"/>
      <c r="L326" s="1723" t="s">
        <v>443</v>
      </c>
      <c r="M326" s="258"/>
      <c r="N326" s="251"/>
      <c r="O326" s="1487"/>
      <c r="P326" s="1487"/>
    </row>
    <row r="327" spans="1:16" s="14433" customFormat="1" ht="18.75" hidden="1" customHeight="1">
      <c r="A327" s="1642"/>
      <c r="B327" s="1642"/>
      <c r="C327" s="284" t="s">
        <v>1201</v>
      </c>
      <c r="D327" s="16273"/>
      <c r="E327" s="16079"/>
      <c r="F327" s="16217"/>
      <c r="G327" s="16245"/>
      <c r="H327" s="1371"/>
      <c r="I327" s="553" t="s">
        <v>1200</v>
      </c>
      <c r="J327" s="477"/>
      <c r="K327" s="1371"/>
      <c r="L327" s="136"/>
      <c r="M327" s="258"/>
      <c r="N327" s="251"/>
      <c r="O327" s="1487"/>
      <c r="P327" s="1487"/>
    </row>
    <row r="328" spans="1:16" s="14433" customFormat="1" ht="0.75" hidden="1" customHeight="1">
      <c r="A328" s="1642"/>
      <c r="B328" s="1642"/>
      <c r="C328" s="284" t="s">
        <v>1208</v>
      </c>
      <c r="D328" s="16273"/>
      <c r="E328" s="16079"/>
      <c r="F328" s="16217"/>
      <c r="G328" s="315"/>
      <c r="H328" s="1371"/>
      <c r="I328" s="553"/>
      <c r="J328" s="477"/>
      <c r="K328" s="1371"/>
      <c r="L328" s="136"/>
      <c r="M328" s="258"/>
      <c r="N328" s="251"/>
      <c r="O328" s="1487"/>
      <c r="P328" s="1487"/>
    </row>
    <row r="329" spans="1:16" s="14433" customFormat="1" ht="18.75" hidden="1" customHeight="1">
      <c r="A329" s="1642" t="s">
        <v>407</v>
      </c>
      <c r="B329" s="1642" t="s">
        <v>408</v>
      </c>
      <c r="C329" s="284"/>
      <c r="D329" s="16273"/>
      <c r="E329" s="16079"/>
      <c r="F329" s="16217" t="str">
        <f>INDEX(PT_DIFFERENTIATION_VTAR,MATCH(A329,PT_DIFFERENTIATION_VTAR_ID,0))</f>
        <v>Тариф на транспортировку сточных вод</v>
      </c>
      <c r="G329" s="16245" t="str">
        <f>INDEX(PT_DIFFERENTIATION_NTAR,MATCH(B329,PT_DIFFERENTIATION_NTAR_ID,0))</f>
        <v/>
      </c>
      <c r="H329" s="1723"/>
      <c r="I329" s="1601"/>
      <c r="J329" s="1635"/>
      <c r="K329" s="1640"/>
      <c r="L329" s="1723" t="s">
        <v>443</v>
      </c>
      <c r="M329" s="258"/>
      <c r="N329" s="251"/>
      <c r="O329" s="1487"/>
      <c r="P329" s="1487"/>
    </row>
    <row r="330" spans="1:16" s="14433" customFormat="1" ht="18.75" hidden="1" customHeight="1">
      <c r="A330" s="1642"/>
      <c r="B330" s="1642"/>
      <c r="C330" s="284" t="s">
        <v>1201</v>
      </c>
      <c r="D330" s="16273"/>
      <c r="E330" s="16079"/>
      <c r="F330" s="16217"/>
      <c r="G330" s="16245"/>
      <c r="H330" s="1371"/>
      <c r="I330" s="553" t="s">
        <v>1200</v>
      </c>
      <c r="J330" s="477"/>
      <c r="K330" s="1371"/>
      <c r="L330" s="136"/>
      <c r="M330" s="258"/>
      <c r="N330" s="251"/>
      <c r="O330" s="1487"/>
      <c r="P330" s="1487"/>
    </row>
    <row r="331" spans="1:16" s="14433" customFormat="1" ht="0.75" hidden="1" customHeight="1">
      <c r="A331" s="1642"/>
      <c r="B331" s="1642"/>
      <c r="C331" s="284" t="s">
        <v>1208</v>
      </c>
      <c r="D331" s="16273"/>
      <c r="E331" s="16079"/>
      <c r="F331" s="16217"/>
      <c r="G331" s="315"/>
      <c r="H331" s="1371"/>
      <c r="I331" s="553"/>
      <c r="J331" s="477"/>
      <c r="K331" s="1371"/>
      <c r="L331" s="136"/>
      <c r="M331" s="258"/>
      <c r="N331" s="251"/>
      <c r="O331" s="1487"/>
      <c r="P331" s="1487"/>
    </row>
    <row r="332" spans="1:16" s="14433" customFormat="1" ht="18.75" hidden="1" customHeight="1">
      <c r="A332" s="1642" t="s">
        <v>412</v>
      </c>
      <c r="B332" s="1642" t="s">
        <v>413</v>
      </c>
      <c r="C332" s="284"/>
      <c r="D332" s="16273"/>
      <c r="E332" s="16079"/>
      <c r="F332" s="16217" t="str">
        <f>INDEX(PT_DIFFERENTIATION_VTAR,MATCH(A332,PT_DIFFERENTIATION_VTAR_ID,0))</f>
        <v>Тариф на подключение (технологическое присоединение) к централизованной системе водоотведения</v>
      </c>
      <c r="G332" s="16245" t="str">
        <f>INDEX(PT_DIFFERENTIATION_NTAR,MATCH(B332,PT_DIFFERENTIATION_NTAR_ID,0))</f>
        <v/>
      </c>
      <c r="H332" s="1723"/>
      <c r="I332" s="1601"/>
      <c r="J332" s="1635"/>
      <c r="K332" s="1640"/>
      <c r="L332" s="1723" t="s">
        <v>443</v>
      </c>
      <c r="M332" s="258"/>
      <c r="N332" s="251"/>
      <c r="O332" s="1487"/>
      <c r="P332" s="1487"/>
    </row>
    <row r="333" spans="1:16" s="14433" customFormat="1" ht="18.75" hidden="1" customHeight="1">
      <c r="A333" s="1642"/>
      <c r="B333" s="1642"/>
      <c r="C333" s="284" t="s">
        <v>1201</v>
      </c>
      <c r="D333" s="16273"/>
      <c r="E333" s="16079"/>
      <c r="F333" s="16217"/>
      <c r="G333" s="16245"/>
      <c r="H333" s="1371"/>
      <c r="I333" s="553" t="s">
        <v>1200</v>
      </c>
      <c r="J333" s="477"/>
      <c r="K333" s="1371"/>
      <c r="L333" s="136"/>
      <c r="M333" s="258"/>
      <c r="N333" s="251"/>
      <c r="O333" s="1487"/>
      <c r="P333" s="1487"/>
    </row>
    <row r="334" spans="1:16" s="14433" customFormat="1" ht="0.75" customHeight="1">
      <c r="A334" s="1642"/>
      <c r="B334" s="1642"/>
      <c r="C334" s="284" t="s">
        <v>1208</v>
      </c>
      <c r="D334" s="16273"/>
      <c r="E334" s="16079"/>
      <c r="F334" s="16217"/>
      <c r="G334" s="315"/>
      <c r="H334" s="1371"/>
      <c r="I334" s="553"/>
      <c r="J334" s="477"/>
      <c r="K334" s="1371"/>
      <c r="L334" s="136"/>
      <c r="M334" s="258"/>
      <c r="N334" s="251"/>
      <c r="O334" s="1487"/>
      <c r="P334" s="1487"/>
    </row>
    <row r="335" spans="1:16" s="15890" customFormat="1" ht="3" customHeight="1">
      <c r="A335" s="1642"/>
      <c r="B335" s="1642"/>
      <c r="C335" s="1643"/>
      <c r="E335" s="317"/>
      <c r="F335" s="317"/>
      <c r="G335" s="317"/>
      <c r="H335" s="317"/>
      <c r="I335" s="317"/>
      <c r="J335" s="317"/>
      <c r="K335" s="317"/>
      <c r="L335" s="317"/>
      <c r="M335" s="317"/>
      <c r="O335" s="118"/>
      <c r="P335" s="118"/>
    </row>
    <row r="336" spans="1:16" ht="24.75" customHeight="1">
      <c r="E336" s="124"/>
      <c r="F336" s="16144"/>
      <c r="G336" s="16144"/>
      <c r="H336" s="16144"/>
      <c r="I336" s="16144"/>
      <c r="J336" s="16144"/>
      <c r="K336" s="16144"/>
      <c r="L336" s="16144"/>
      <c r="M336" s="16144"/>
    </row>
  </sheetData>
  <sheetProtection formatColumns="0" formatRows="0" insertRows="0" deleteColumns="0" deleteRows="0" sort="0" autoFilter="0"/>
  <mergeCells count="418">
    <mergeCell ref="G129:G130"/>
    <mergeCell ref="G191:G192"/>
    <mergeCell ref="G253:G254"/>
    <mergeCell ref="G315:G316"/>
    <mergeCell ref="G67:G68"/>
    <mergeCell ref="G131:G132"/>
    <mergeCell ref="G193:G194"/>
    <mergeCell ref="G255:G256"/>
    <mergeCell ref="G317:G31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70:D72"/>
    <mergeCell ref="E70:E72"/>
    <mergeCell ref="F70:F72"/>
    <mergeCell ref="F336:M336"/>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D91:D93"/>
    <mergeCell ref="E91:E93"/>
    <mergeCell ref="G45:G46"/>
    <mergeCell ref="G48:G49"/>
    <mergeCell ref="G51:G52"/>
    <mergeCell ref="G54:G55"/>
    <mergeCell ref="M212:M215"/>
    <mergeCell ref="M88:M91"/>
    <mergeCell ref="F149:L149"/>
    <mergeCell ref="M150:M153"/>
    <mergeCell ref="F211:L211"/>
    <mergeCell ref="F48:F50"/>
    <mergeCell ref="F51:F53"/>
    <mergeCell ref="F76:F78"/>
    <mergeCell ref="F79:F81"/>
    <mergeCell ref="F91:F93"/>
    <mergeCell ref="F94:F96"/>
    <mergeCell ref="M24:M84"/>
    <mergeCell ref="G42:G43"/>
    <mergeCell ref="G127:G128"/>
    <mergeCell ref="G134:G135"/>
    <mergeCell ref="G137:G138"/>
    <mergeCell ref="G140:G141"/>
    <mergeCell ref="G156:G157"/>
    <mergeCell ref="G159:G160"/>
    <mergeCell ref="G162:G163"/>
    <mergeCell ref="D45:D47"/>
    <mergeCell ref="E45:E47"/>
    <mergeCell ref="F45:F47"/>
    <mergeCell ref="D60:D62"/>
    <mergeCell ref="E60:E62"/>
    <mergeCell ref="F60:F62"/>
    <mergeCell ref="D63:D69"/>
    <mergeCell ref="E63:E69"/>
    <mergeCell ref="F63:F69"/>
    <mergeCell ref="D54:D56"/>
    <mergeCell ref="E54:E56"/>
    <mergeCell ref="F54:F56"/>
    <mergeCell ref="D57:D59"/>
    <mergeCell ref="E57:E59"/>
    <mergeCell ref="F57:F59"/>
    <mergeCell ref="D48:D50"/>
    <mergeCell ref="E48:E50"/>
    <mergeCell ref="D51:D53"/>
    <mergeCell ref="E51:E53"/>
    <mergeCell ref="D73:D75"/>
    <mergeCell ref="E73:E75"/>
    <mergeCell ref="F73:F75"/>
    <mergeCell ref="F97:F99"/>
    <mergeCell ref="D100:D102"/>
    <mergeCell ref="E100:E102"/>
    <mergeCell ref="F100:F102"/>
    <mergeCell ref="D82:D84"/>
    <mergeCell ref="E82:E84"/>
    <mergeCell ref="F82:F84"/>
    <mergeCell ref="D88:D90"/>
    <mergeCell ref="E88:E90"/>
    <mergeCell ref="F88:F90"/>
    <mergeCell ref="D97:D99"/>
    <mergeCell ref="E97:E99"/>
    <mergeCell ref="F85:L85"/>
    <mergeCell ref="H86:I86"/>
    <mergeCell ref="F87:L87"/>
    <mergeCell ref="D76:D78"/>
    <mergeCell ref="E76:E78"/>
    <mergeCell ref="D79:D81"/>
    <mergeCell ref="E79:E81"/>
    <mergeCell ref="D94:D96"/>
    <mergeCell ref="E94:E9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37:D139"/>
    <mergeCell ref="E137:E139"/>
    <mergeCell ref="F137:F139"/>
    <mergeCell ref="D140:D142"/>
    <mergeCell ref="E140:E142"/>
    <mergeCell ref="F140:F142"/>
    <mergeCell ref="D127:D133"/>
    <mergeCell ref="E127:E133"/>
    <mergeCell ref="F127:F133"/>
    <mergeCell ref="D134:D136"/>
    <mergeCell ref="E134:E136"/>
    <mergeCell ref="F134:F136"/>
    <mergeCell ref="G165:G166"/>
    <mergeCell ref="D153:D155"/>
    <mergeCell ref="E153:E155"/>
    <mergeCell ref="F153:F155"/>
    <mergeCell ref="D143:D145"/>
    <mergeCell ref="E143:E145"/>
    <mergeCell ref="F143:F145"/>
    <mergeCell ref="D146:D148"/>
    <mergeCell ref="E146:E148"/>
    <mergeCell ref="F146:F148"/>
    <mergeCell ref="D150:D152"/>
    <mergeCell ref="E150:E152"/>
    <mergeCell ref="F150:F152"/>
    <mergeCell ref="G143:G144"/>
    <mergeCell ref="G146:G147"/>
    <mergeCell ref="G150:G151"/>
    <mergeCell ref="G153:G154"/>
    <mergeCell ref="D162:D164"/>
    <mergeCell ref="E162:E164"/>
    <mergeCell ref="F162:F164"/>
    <mergeCell ref="D165:D167"/>
    <mergeCell ref="E165:E167"/>
    <mergeCell ref="F165:F167"/>
    <mergeCell ref="D156:D158"/>
    <mergeCell ref="E156:E158"/>
    <mergeCell ref="F156:F158"/>
    <mergeCell ref="D159:D161"/>
    <mergeCell ref="E159:E161"/>
    <mergeCell ref="F159:F161"/>
    <mergeCell ref="D168:D170"/>
    <mergeCell ref="E168:E170"/>
    <mergeCell ref="F168:F170"/>
    <mergeCell ref="D171:D173"/>
    <mergeCell ref="E171:E173"/>
    <mergeCell ref="F171:F173"/>
    <mergeCell ref="G168:G169"/>
    <mergeCell ref="G171:G172"/>
    <mergeCell ref="G174:G175"/>
    <mergeCell ref="G180:G181"/>
    <mergeCell ref="G183:G184"/>
    <mergeCell ref="G186:G187"/>
    <mergeCell ref="G189:G190"/>
    <mergeCell ref="D174:D176"/>
    <mergeCell ref="E174:E176"/>
    <mergeCell ref="F174:F176"/>
    <mergeCell ref="D177:D179"/>
    <mergeCell ref="E177:E179"/>
    <mergeCell ref="F177:F179"/>
    <mergeCell ref="G177:G178"/>
    <mergeCell ref="D186:D188"/>
    <mergeCell ref="E186:E188"/>
    <mergeCell ref="F186:F188"/>
    <mergeCell ref="D189:D195"/>
    <mergeCell ref="E189:E195"/>
    <mergeCell ref="F189:F195"/>
    <mergeCell ref="D180:D182"/>
    <mergeCell ref="E180:E182"/>
    <mergeCell ref="F180:F182"/>
    <mergeCell ref="D183:D185"/>
    <mergeCell ref="E183:E185"/>
    <mergeCell ref="F183:F185"/>
    <mergeCell ref="D196:D198"/>
    <mergeCell ref="E196:E198"/>
    <mergeCell ref="F196:F198"/>
    <mergeCell ref="D199:D201"/>
    <mergeCell ref="E199:E201"/>
    <mergeCell ref="F199:F201"/>
    <mergeCell ref="G196:G197"/>
    <mergeCell ref="G199:G200"/>
    <mergeCell ref="G202:G203"/>
    <mergeCell ref="G208:G209"/>
    <mergeCell ref="G212:G213"/>
    <mergeCell ref="G215:G216"/>
    <mergeCell ref="G218:G219"/>
    <mergeCell ref="D202:D204"/>
    <mergeCell ref="E202:E204"/>
    <mergeCell ref="F202:F204"/>
    <mergeCell ref="D205:D207"/>
    <mergeCell ref="E205:E207"/>
    <mergeCell ref="F205:F207"/>
    <mergeCell ref="G205:G206"/>
    <mergeCell ref="D215:D217"/>
    <mergeCell ref="E215:E217"/>
    <mergeCell ref="F215:F217"/>
    <mergeCell ref="D218:D220"/>
    <mergeCell ref="E218:E220"/>
    <mergeCell ref="F218:F220"/>
    <mergeCell ref="D208:D210"/>
    <mergeCell ref="E208:E210"/>
    <mergeCell ref="F208:F210"/>
    <mergeCell ref="D212:D214"/>
    <mergeCell ref="E212:E214"/>
    <mergeCell ref="F212:F214"/>
    <mergeCell ref="D221:D223"/>
    <mergeCell ref="E221:E223"/>
    <mergeCell ref="F221:F223"/>
    <mergeCell ref="D224:D226"/>
    <mergeCell ref="E224:E226"/>
    <mergeCell ref="F224:F226"/>
    <mergeCell ref="G221:G222"/>
    <mergeCell ref="G224:G225"/>
    <mergeCell ref="G227:G228"/>
    <mergeCell ref="G233:G234"/>
    <mergeCell ref="G236:G237"/>
    <mergeCell ref="G239:G240"/>
    <mergeCell ref="G242:G243"/>
    <mergeCell ref="D227:D229"/>
    <mergeCell ref="E227:E229"/>
    <mergeCell ref="F227:F229"/>
    <mergeCell ref="D230:D232"/>
    <mergeCell ref="E230:E232"/>
    <mergeCell ref="F230:F232"/>
    <mergeCell ref="G230:G231"/>
    <mergeCell ref="D239:D241"/>
    <mergeCell ref="E239:E241"/>
    <mergeCell ref="F239:F241"/>
    <mergeCell ref="D242:D244"/>
    <mergeCell ref="E242:E244"/>
    <mergeCell ref="F242:F244"/>
    <mergeCell ref="D233:D235"/>
    <mergeCell ref="E233:E235"/>
    <mergeCell ref="F233:F235"/>
    <mergeCell ref="D236:D238"/>
    <mergeCell ref="E236:E238"/>
    <mergeCell ref="F236:F238"/>
    <mergeCell ref="D245:D247"/>
    <mergeCell ref="E245:E247"/>
    <mergeCell ref="F245:F247"/>
    <mergeCell ref="D248:D250"/>
    <mergeCell ref="E248:E250"/>
    <mergeCell ref="F248:F250"/>
    <mergeCell ref="G245:G246"/>
    <mergeCell ref="G248:G249"/>
    <mergeCell ref="G251:G252"/>
    <mergeCell ref="G261:G262"/>
    <mergeCell ref="G264:G265"/>
    <mergeCell ref="G267:G268"/>
    <mergeCell ref="G270:G271"/>
    <mergeCell ref="D251:D257"/>
    <mergeCell ref="E251:E257"/>
    <mergeCell ref="F251:F257"/>
    <mergeCell ref="D258:D260"/>
    <mergeCell ref="E258:E260"/>
    <mergeCell ref="F258:F260"/>
    <mergeCell ref="G258:G259"/>
    <mergeCell ref="D267:D269"/>
    <mergeCell ref="E267:E269"/>
    <mergeCell ref="F267:F269"/>
    <mergeCell ref="D270:D272"/>
    <mergeCell ref="E270:E272"/>
    <mergeCell ref="F270:F272"/>
    <mergeCell ref="D261:D263"/>
    <mergeCell ref="E261:E263"/>
    <mergeCell ref="F261:F263"/>
    <mergeCell ref="D264:D266"/>
    <mergeCell ref="E264:E266"/>
    <mergeCell ref="F264:F266"/>
    <mergeCell ref="F304:F306"/>
    <mergeCell ref="D307:D309"/>
    <mergeCell ref="E307:E309"/>
    <mergeCell ref="F307:F309"/>
    <mergeCell ref="G304:G305"/>
    <mergeCell ref="G307:G308"/>
    <mergeCell ref="G310:G311"/>
    <mergeCell ref="G313:G314"/>
    <mergeCell ref="F283:F285"/>
    <mergeCell ref="D298:D300"/>
    <mergeCell ref="E298:E300"/>
    <mergeCell ref="F298:F300"/>
    <mergeCell ref="D301:D303"/>
    <mergeCell ref="E301:E303"/>
    <mergeCell ref="F301:F303"/>
    <mergeCell ref="D292:D294"/>
    <mergeCell ref="E292:E294"/>
    <mergeCell ref="F292:F294"/>
    <mergeCell ref="D295:D297"/>
    <mergeCell ref="E295:E297"/>
    <mergeCell ref="F295:F297"/>
    <mergeCell ref="G301:G302"/>
    <mergeCell ref="D332:D334"/>
    <mergeCell ref="E332:E334"/>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0:D312"/>
    <mergeCell ref="E310:E312"/>
    <mergeCell ref="F310:F312"/>
    <mergeCell ref="D313:D319"/>
    <mergeCell ref="E313:E319"/>
    <mergeCell ref="F313:F319"/>
    <mergeCell ref="D304:D306"/>
    <mergeCell ref="E304:E306"/>
    <mergeCell ref="G57:G58"/>
    <mergeCell ref="G60:G61"/>
    <mergeCell ref="G63:G64"/>
    <mergeCell ref="G70:G71"/>
    <mergeCell ref="G73:G74"/>
    <mergeCell ref="G76:G77"/>
    <mergeCell ref="G79:G80"/>
    <mergeCell ref="G82:G83"/>
    <mergeCell ref="G88:G89"/>
    <mergeCell ref="G65:G66"/>
    <mergeCell ref="G91:G92"/>
    <mergeCell ref="G94:G95"/>
    <mergeCell ref="G97:G98"/>
    <mergeCell ref="G100:G101"/>
    <mergeCell ref="G103:G104"/>
    <mergeCell ref="G106:G107"/>
    <mergeCell ref="G109:G110"/>
    <mergeCell ref="G112:G113"/>
    <mergeCell ref="G115:G116"/>
    <mergeCell ref="G320:G321"/>
    <mergeCell ref="G323:G324"/>
    <mergeCell ref="G326:G327"/>
    <mergeCell ref="G329:G330"/>
    <mergeCell ref="G332:G333"/>
    <mergeCell ref="G274:G275"/>
    <mergeCell ref="G277:G278"/>
    <mergeCell ref="G280:G281"/>
    <mergeCell ref="G283:G284"/>
    <mergeCell ref="G286:G287"/>
    <mergeCell ref="G289:G290"/>
    <mergeCell ref="G292:G293"/>
    <mergeCell ref="G295:G296"/>
    <mergeCell ref="G298:G299"/>
  </mergeCells>
  <dataValidations count="4">
    <dataValidation type="decimal" allowBlank="1" showErrorMessage="1" errorTitle="Ошибка" error="Допускается ввод только действительных чисел!" sqref="K212 K215 K218 K221 K224 K227 K230 K233 K236 K239 K242 K245 K248 K251 K258 K261 K264 K267 K10 K88 K143 K140 K137 K134 K127 K124 K121 K118 K115 K112 K109 K106 K103 K100 K97 K94 K91 K150 K146 K153 K156 K159 K162 K165 K168 K171 K174 K177 K180 K183 K186 K196 K199 K202 K205 K208 K189 K270 K274 K277 K280 K283 K286 K289 K292 K295 K298 K301 K304 K307 K310 K313 K320 K323 K326 K329 K332 K5 K129 K191 K253 K315 K131 K193 K255 K31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70:J70 I73:J73 I76:J76 I79:J79 I212:J212 I215:J215 I218:J218 I221:J221 I224:J224 I227:J227 I230:J230 I233:J233 I236:J236 I239:J239 I242:J242 I245:J245 I248:J248 I251:J251 I258:J258 I261:J261 I264:J264 I8:J8 I82:J82 I146:J146 I91:J91 I94:J94 I97:J97 I100:J100 I103:J103 I106:J106 I109:J109 I112:J112 I115:J115 I118:J118 I121:J121 I124:J124 I127:J127 I134:J134 I137:J137 I140:J140 I143:J143 I150:J150 I88:J88 I153:J153 I156:J156 I159:J159 I162:J162 I165:J165 I168:J168 I171:J171 I174:J174 I177:J177 I180:J180 I183:J183 I186:J186 I196:J196 I199:J199 I202:J202 I205:J205 I208:J208 I189:J189 I267:J267 I270:J270 I274:J274 I277:J277 I280:J280 I283:J283 I286:J286 I289:J289 I292:J292 I295:J295 I298:J298 I301:J301 I304:J304 I307:J307 I310:J310 I313:J313 I320:J320 I323:J323 I326:J326 I329:J329 I332:J332 I2:J2 I5:J5 I65 J65 I129 J129 I191 J191 I253 J253 I315 J315 I67 J67 I131 J131 I193 J193 I255 J255 I317 J317"/>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5898" hidden="1" customWidth="1"/>
    <col min="2" max="2" width="9.140625" style="15888" hidden="1" customWidth="1"/>
    <col min="3" max="3" width="3.7109375" style="14425" customWidth="1"/>
    <col min="4" max="4" width="6.28515625" style="15896" customWidth="1"/>
    <col min="5" max="5" width="53.85546875" style="15896" customWidth="1"/>
    <col min="6" max="7" width="35.7109375" style="15896" customWidth="1"/>
    <col min="8" max="8" width="89.5703125" style="15896" customWidth="1"/>
    <col min="9" max="9" width="10.5703125" style="15896"/>
    <col min="10" max="11" width="10.5703125" style="15897"/>
    <col min="12" max="17" width="10.5703125" style="15896"/>
  </cols>
  <sheetData>
    <row r="1" spans="1:17" ht="14.25" hidden="1" customHeight="1">
      <c r="N1" s="174"/>
      <c r="O1" s="174"/>
      <c r="Q1" s="174"/>
    </row>
    <row r="2" spans="1:17" s="14433" customFormat="1" ht="18.75" hidden="1" customHeight="1">
      <c r="A2" s="36"/>
      <c r="B2" s="1041"/>
      <c r="C2" s="1592" t="s">
        <v>103</v>
      </c>
      <c r="D2" s="1536"/>
      <c r="E2" s="1545"/>
      <c r="F2" s="176"/>
      <c r="G2" s="1042"/>
      <c r="H2" s="289"/>
      <c r="I2" s="1487"/>
      <c r="J2" s="1487"/>
    </row>
    <row r="3" spans="1:17" ht="14.25" hidden="1" customHeight="1"/>
    <row r="4" spans="1:17" ht="6" customHeight="1">
      <c r="C4" s="291"/>
      <c r="D4" s="279"/>
      <c r="E4" s="279"/>
      <c r="F4" s="279"/>
      <c r="G4" s="21"/>
      <c r="H4" s="21"/>
    </row>
    <row r="5" spans="1:17" ht="33" customHeight="1">
      <c r="C5" s="291"/>
      <c r="D5" s="16022"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16023"/>
      <c r="F5" s="16023"/>
      <c r="G5" s="16024"/>
      <c r="H5" s="185"/>
    </row>
    <row r="6" spans="1:17" s="14433" customFormat="1" ht="17.25" customHeight="1">
      <c r="A6" s="1532"/>
      <c r="B6" s="1041"/>
      <c r="C6" s="291"/>
      <c r="D6" s="16089" t="str">
        <f>IF(org=0,"Не определено",org)</f>
        <v>АО "Мурманэнергосбыт"</v>
      </c>
      <c r="E6" s="16090"/>
      <c r="F6" s="16090"/>
      <c r="G6" s="16091"/>
      <c r="H6" s="185"/>
      <c r="J6" s="1487"/>
      <c r="K6" s="1487"/>
    </row>
    <row r="7" spans="1:17" ht="14.25" customHeight="1">
      <c r="C7" s="291"/>
      <c r="D7" s="279"/>
      <c r="E7" s="304"/>
      <c r="F7" s="304"/>
      <c r="G7" s="650"/>
      <c r="H7" s="115"/>
    </row>
    <row r="8" spans="1:17" ht="14.25" customHeight="1">
      <c r="C8" s="291"/>
      <c r="D8" s="16084" t="s">
        <v>437</v>
      </c>
      <c r="E8" s="16084"/>
      <c r="F8" s="16084"/>
      <c r="G8" s="16084"/>
      <c r="H8" s="16271" t="s">
        <v>438</v>
      </c>
    </row>
    <row r="9" spans="1:17" ht="14.25" customHeight="1">
      <c r="C9" s="291"/>
      <c r="D9" s="301" t="s">
        <v>87</v>
      </c>
      <c r="E9" s="41" t="s">
        <v>439</v>
      </c>
      <c r="F9" s="41" t="s">
        <v>440</v>
      </c>
      <c r="G9" s="41" t="s">
        <v>527</v>
      </c>
      <c r="H9" s="16271"/>
    </row>
    <row r="10" spans="1:17" ht="14.25" customHeight="1">
      <c r="A10" s="259"/>
      <c r="C10" s="291"/>
      <c r="D10" s="73" t="s">
        <v>147</v>
      </c>
      <c r="E10" s="174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
      <c r="G10" s="135"/>
      <c r="H10" s="16032" t="s">
        <v>1209</v>
      </c>
    </row>
    <row r="11" spans="1:17" ht="14.25" customHeight="1">
      <c r="A11" s="259"/>
      <c r="C11" s="291"/>
      <c r="D11" s="73" t="s">
        <v>102</v>
      </c>
      <c r="E11" s="174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
      <c r="G11" s="135"/>
      <c r="H11" s="16033"/>
    </row>
    <row r="12" spans="1:17" ht="14.25" customHeight="1">
      <c r="A12" s="36"/>
      <c r="C12" s="302"/>
      <c r="D12" s="73" t="s">
        <v>89</v>
      </c>
      <c r="E12" s="303" t="str">
        <f>"Сведения о планировании закупочных процедур"&amp;IF(TEMPLATE_SPHERE="TKO"," &lt;1&gt;","")</f>
        <v>Сведения о планировании закупочных процедур</v>
      </c>
      <c r="F12" s="176"/>
      <c r="G12" s="135"/>
      <c r="H12" s="160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6"/>
      <c r="C13" s="302"/>
      <c r="D13" s="73" t="s">
        <v>90</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5"/>
      <c r="H13" s="16033"/>
      <c r="I13" s="266"/>
      <c r="K13" s="289"/>
    </row>
    <row r="14" spans="1:17" ht="14.25" customHeight="1">
      <c r="A14" s="259"/>
      <c r="C14" s="291"/>
      <c r="D14" s="263"/>
      <c r="E14" s="310" t="s">
        <v>459</v>
      </c>
      <c r="F14" s="265"/>
      <c r="G14" s="123"/>
      <c r="H14" s="16034"/>
    </row>
    <row r="15" spans="1:17" s="14433" customFormat="1" ht="14.25" customHeight="1">
      <c r="A15" s="259"/>
      <c r="B15" s="1041"/>
      <c r="C15" s="291"/>
      <c r="D15" s="311"/>
      <c r="E15" s="1540"/>
      <c r="F15" s="1541"/>
      <c r="G15" s="1542"/>
      <c r="H15" s="1543"/>
      <c r="J15" s="1487"/>
      <c r="K15" s="1487"/>
    </row>
    <row r="16" spans="1:17" ht="14.25" customHeight="1">
      <c r="D16" s="1544"/>
      <c r="E16" s="16144"/>
      <c r="F16" s="16144"/>
      <c r="G16" s="16144"/>
      <c r="H16" s="1614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4406" hidden="1" customWidth="1"/>
    <col min="2" max="2" width="9.140625" style="14409" hidden="1" customWidth="1"/>
    <col min="3" max="3" width="4.7109375" style="15868" customWidth="1"/>
    <col min="4" max="4" width="6.28515625" style="14409" customWidth="1"/>
    <col min="5" max="5" width="47.85546875" style="14409" customWidth="1"/>
    <col min="6" max="6" width="9.5703125" style="14409" customWidth="1"/>
    <col min="7" max="7" width="25.7109375" style="14361" hidden="1" customWidth="1"/>
    <col min="8" max="8" width="34" style="14361" hidden="1" customWidth="1"/>
    <col min="9" max="9" width="25.7109375" style="14409" customWidth="1"/>
    <col min="10" max="10" width="34" style="14409" customWidth="1"/>
    <col min="11" max="11" width="50.85546875" style="14362" customWidth="1"/>
    <col min="12" max="20" width="10.5703125" style="14409"/>
    <col min="21" max="21" width="10.5703125" style="15869"/>
  </cols>
  <sheetData>
    <row r="1" spans="1:21" s="14362" customFormat="1" ht="15" hidden="1" customHeight="1">
      <c r="C1" s="574"/>
      <c r="G1" s="332">
        <v>4</v>
      </c>
      <c r="I1" s="332">
        <v>4</v>
      </c>
      <c r="U1" s="334"/>
    </row>
    <row r="2" spans="1:21" s="15863" customFormat="1" ht="15" hidden="1" customHeight="1">
      <c r="A2" s="278"/>
      <c r="C2" s="99"/>
      <c r="D2" s="262"/>
      <c r="E2" s="575"/>
      <c r="F2" s="429"/>
      <c r="G2" s="518"/>
      <c r="H2" s="518"/>
      <c r="I2" s="518"/>
      <c r="J2" s="518"/>
      <c r="U2" s="576"/>
    </row>
    <row r="3" spans="1:21" s="14362" customFormat="1" ht="15" hidden="1" customHeight="1">
      <c r="C3" s="574"/>
      <c r="U3" s="334"/>
    </row>
    <row r="4" spans="1:21" ht="15" customHeight="1">
      <c r="C4" s="99"/>
      <c r="D4" s="416"/>
      <c r="E4" s="416"/>
      <c r="F4" s="416"/>
      <c r="G4" s="416"/>
      <c r="H4" s="416"/>
      <c r="I4" s="416"/>
      <c r="J4" s="416"/>
    </row>
    <row r="5" spans="1:21" ht="63" customHeight="1">
      <c r="C5" s="99"/>
      <c r="D5" s="16108" t="s">
        <v>1210</v>
      </c>
      <c r="E5" s="16108"/>
      <c r="F5" s="16108"/>
      <c r="G5" s="16108"/>
      <c r="H5" s="16108"/>
      <c r="I5" s="16108"/>
      <c r="J5" s="16108"/>
    </row>
    <row r="6" spans="1:21" ht="15" customHeight="1">
      <c r="C6" s="99"/>
      <c r="D6" s="16056" t="str">
        <f>IF(org=0,"Не определено",org)</f>
        <v>АО "Мурманэнергосбыт"</v>
      </c>
      <c r="E6" s="16056"/>
      <c r="F6" s="16056"/>
      <c r="G6" s="16056"/>
      <c r="H6" s="16056"/>
      <c r="I6" s="16056"/>
      <c r="J6" s="16056"/>
      <c r="K6" s="443"/>
    </row>
    <row r="7" spans="1:21" ht="15" customHeight="1">
      <c r="C7" s="99"/>
      <c r="D7" s="650"/>
      <c r="E7" s="416"/>
      <c r="F7" s="416"/>
      <c r="G7" s="443">
        <v>22</v>
      </c>
      <c r="I7" s="443">
        <v>1</v>
      </c>
      <c r="J7" s="650"/>
    </row>
    <row r="8" spans="1:21" s="14361" customFormat="1" ht="0.75" customHeight="1">
      <c r="A8" s="657"/>
      <c r="C8" s="99"/>
      <c r="D8" s="416"/>
      <c r="E8" s="416"/>
      <c r="F8" s="416"/>
      <c r="G8" s="443"/>
      <c r="H8" s="650"/>
      <c r="I8" s="443" t="s">
        <v>152</v>
      </c>
      <c r="J8" s="650"/>
      <c r="K8" s="332"/>
      <c r="U8" s="577"/>
    </row>
    <row r="9" spans="1:21" ht="15" customHeight="1">
      <c r="C9" s="99"/>
      <c r="D9" s="611"/>
      <c r="E9" s="16203" t="s">
        <v>143</v>
      </c>
      <c r="F9" s="16204"/>
      <c r="G9" s="16224" t="str">
        <f>IF(G8="","",INDEX(DIFFERENTIATION_UNMERGE_VD,MATCH(G8,DIFFERENTIATION_ID_DIFF,0)))</f>
        <v/>
      </c>
      <c r="H9" s="16225"/>
      <c r="I9" s="16224">
        <f>IF(I8="","",INDEX(DIFFERENTIATION_UNMERGE_VD,MATCH(I8,DIFFERENTIATION_ID_DIFF,0)))</f>
        <v>0</v>
      </c>
      <c r="J9" s="16225"/>
      <c r="K9" s="16055" t="s">
        <v>438</v>
      </c>
    </row>
    <row r="10" spans="1:21" s="14361" customFormat="1" ht="15" customHeight="1">
      <c r="A10" s="657"/>
      <c r="C10" s="99"/>
      <c r="D10" s="611"/>
      <c r="E10" s="16203" t="s">
        <v>702</v>
      </c>
      <c r="F10" s="16204"/>
      <c r="G10" s="16224" t="str">
        <f>IF(G8="","",INDEX(DIFFERENTIATION_UNMERGE_AREA,MATCH(G8,DIFFERENTIATION_ID_DIFF,0)))</f>
        <v/>
      </c>
      <c r="H10" s="16225"/>
      <c r="I10" s="16224" t="str">
        <f>IF(I8="","",INDEX(DIFFERENTIATION_UNMERGE_AREA,MATCH(I8,DIFFERENTIATION_ID_DIFF,0)))</f>
        <v/>
      </c>
      <c r="J10" s="16225"/>
      <c r="K10" s="16074"/>
      <c r="U10" s="577"/>
    </row>
    <row r="11" spans="1:21" s="14361" customFormat="1" ht="15" customHeight="1">
      <c r="A11" s="657"/>
      <c r="C11" s="99"/>
      <c r="D11" s="611"/>
      <c r="E11" s="16203" t="s">
        <v>703</v>
      </c>
      <c r="F11" s="16204"/>
      <c r="G11" s="16224" t="str">
        <f>IF(G8="","",INDEX(DIFFERENTIATION_UNMERGE_SYSTEM,MATCH(G8,DIFFERENTIATION_ID_DIFF,0)))</f>
        <v/>
      </c>
      <c r="H11" s="16225"/>
      <c r="I11" s="16224" t="str">
        <f>IF(I8="","",INDEX(DIFFERENTIATION_UNMERGE_SYSTEM,MATCH(I8,DIFFERENTIATION_ID_DIFF,0)))</f>
        <v>без дифференциации</v>
      </c>
      <c r="J11" s="16225"/>
      <c r="K11" s="16074"/>
      <c r="U11" s="577"/>
    </row>
    <row r="12" spans="1:21" s="14361" customFormat="1" ht="15" customHeight="1">
      <c r="A12" s="657"/>
      <c r="C12" s="99"/>
      <c r="D12" s="16205" t="s">
        <v>437</v>
      </c>
      <c r="E12" s="16206"/>
      <c r="F12" s="16206"/>
      <c r="G12" s="781"/>
      <c r="H12" s="781"/>
      <c r="I12" s="781"/>
      <c r="J12" s="781"/>
      <c r="K12" s="16074"/>
      <c r="U12" s="577"/>
    </row>
    <row r="13" spans="1:21" ht="33.75" customHeight="1">
      <c r="C13" s="99"/>
      <c r="D13" s="703" t="s">
        <v>87</v>
      </c>
      <c r="E13" s="705" t="s">
        <v>439</v>
      </c>
      <c r="F13" s="705" t="s">
        <v>704</v>
      </c>
      <c r="G13" s="706" t="s">
        <v>440</v>
      </c>
      <c r="H13" s="705" t="s">
        <v>527</v>
      </c>
      <c r="I13" s="706" t="s">
        <v>440</v>
      </c>
      <c r="J13" s="705" t="s">
        <v>527</v>
      </c>
      <c r="K13" s="16103"/>
    </row>
    <row r="14" spans="1:21" ht="15" hidden="1" customHeight="1">
      <c r="C14" s="99"/>
      <c r="D14" s="497" t="s">
        <v>147</v>
      </c>
      <c r="E14" s="497" t="s">
        <v>102</v>
      </c>
      <c r="F14" s="497" t="s">
        <v>89</v>
      </c>
      <c r="G14" s="561" t="str">
        <f>G1&amp;".1"</f>
        <v>4.1</v>
      </c>
      <c r="H14" s="561"/>
      <c r="I14" s="561" t="str">
        <f>I1&amp;".1"</f>
        <v>4.1</v>
      </c>
      <c r="J14" s="561"/>
      <c r="K14" s="206"/>
    </row>
    <row r="15" spans="1:21" ht="22.5" hidden="1" customHeight="1">
      <c r="A15" s="412"/>
      <c r="C15" s="433"/>
      <c r="D15" s="428">
        <v>1</v>
      </c>
      <c r="E15" s="579" t="s">
        <v>861</v>
      </c>
      <c r="F15" s="428" t="s">
        <v>862</v>
      </c>
      <c r="G15" s="580"/>
      <c r="H15" s="580"/>
      <c r="I15" s="580"/>
      <c r="J15" s="580"/>
      <c r="K15" s="206" t="s">
        <v>863</v>
      </c>
    </row>
    <row r="16" spans="1:21" ht="22.5" hidden="1" customHeight="1">
      <c r="A16" s="412"/>
      <c r="C16" s="433"/>
      <c r="D16" s="428">
        <v>2</v>
      </c>
      <c r="E16" s="197" t="s">
        <v>864</v>
      </c>
      <c r="F16" s="428" t="s">
        <v>865</v>
      </c>
      <c r="G16" s="580"/>
      <c r="H16" s="580"/>
      <c r="I16" s="580"/>
      <c r="J16" s="580"/>
      <c r="K16" s="206" t="s">
        <v>866</v>
      </c>
    </row>
    <row r="17" spans="1:11" ht="123.75" hidden="1" customHeight="1">
      <c r="A17" s="412"/>
      <c r="C17" s="433"/>
      <c r="D17" s="428">
        <v>3</v>
      </c>
      <c r="E17" s="197" t="s">
        <v>1211</v>
      </c>
      <c r="F17" s="428" t="s">
        <v>443</v>
      </c>
      <c r="G17" s="580"/>
      <c r="H17" s="580"/>
      <c r="I17" s="580"/>
      <c r="J17" s="580"/>
      <c r="K17" s="206" t="s">
        <v>1212</v>
      </c>
    </row>
    <row r="18" spans="1:11" ht="45" customHeight="1">
      <c r="A18" s="412"/>
      <c r="C18" s="433"/>
      <c r="D18" s="428">
        <v>3</v>
      </c>
      <c r="E18" s="197" t="s">
        <v>867</v>
      </c>
      <c r="F18" s="428" t="s">
        <v>443</v>
      </c>
      <c r="G18" s="707" t="s">
        <v>443</v>
      </c>
      <c r="H18" s="708" t="s">
        <v>443</v>
      </c>
      <c r="I18" s="428" t="s">
        <v>443</v>
      </c>
      <c r="J18" s="484" t="s">
        <v>443</v>
      </c>
      <c r="K18" s="206" t="s">
        <v>1213</v>
      </c>
    </row>
    <row r="19" spans="1:11" ht="33.75" customHeight="1">
      <c r="A19" s="412"/>
      <c r="C19" s="433"/>
      <c r="D19" s="445" t="s">
        <v>461</v>
      </c>
      <c r="E19" s="465" t="s">
        <v>869</v>
      </c>
      <c r="F19" s="428" t="s">
        <v>870</v>
      </c>
      <c r="G19" s="715"/>
      <c r="H19" s="39"/>
      <c r="I19" s="715"/>
      <c r="J19" s="716"/>
      <c r="K19" s="581"/>
    </row>
    <row r="20" spans="1:11" ht="33.75" customHeight="1">
      <c r="A20" s="412"/>
      <c r="C20" s="433"/>
      <c r="D20" s="1750" t="s">
        <v>469</v>
      </c>
      <c r="E20" s="465" t="s">
        <v>871</v>
      </c>
      <c r="F20" s="428" t="s">
        <v>872</v>
      </c>
      <c r="G20" s="715"/>
      <c r="H20" s="39"/>
      <c r="I20" s="715"/>
      <c r="J20" s="39"/>
      <c r="K20" s="581"/>
    </row>
    <row r="21" spans="1:11" ht="45" customHeight="1">
      <c r="A21" s="412"/>
      <c r="C21" s="433"/>
      <c r="D21" s="1750" t="s">
        <v>471</v>
      </c>
      <c r="E21" s="465" t="s">
        <v>873</v>
      </c>
      <c r="F21" s="428" t="s">
        <v>709</v>
      </c>
      <c r="G21" s="582"/>
      <c r="H21" s="39"/>
      <c r="I21" s="582"/>
      <c r="J21" s="39"/>
      <c r="K21" s="581"/>
    </row>
    <row r="22" spans="1:11" ht="67.5" hidden="1" customHeight="1">
      <c r="A22" s="412"/>
      <c r="C22" s="433"/>
      <c r="D22" s="428">
        <v>5</v>
      </c>
      <c r="E22" s="197" t="s">
        <v>1214</v>
      </c>
      <c r="F22" s="428" t="s">
        <v>696</v>
      </c>
      <c r="G22" s="583"/>
      <c r="H22" s="584"/>
      <c r="I22" s="583"/>
      <c r="J22" s="584"/>
      <c r="K22" s="206" t="s">
        <v>1215</v>
      </c>
    </row>
    <row r="23" spans="1:11" ht="33.75" hidden="1" customHeight="1">
      <c r="C23" s="363"/>
      <c r="D23" s="428">
        <v>6</v>
      </c>
      <c r="E23" s="197" t="s">
        <v>1216</v>
      </c>
      <c r="F23" s="428" t="s">
        <v>1217</v>
      </c>
      <c r="G23" s="583"/>
      <c r="H23" s="583"/>
      <c r="I23" s="583"/>
      <c r="J23" s="583"/>
      <c r="K23" s="206" t="s">
        <v>1218</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5900" customWidth="1"/>
    <col min="2" max="2" width="11" style="15901" customWidth="1"/>
    <col min="3" max="3" width="9.140625" style="15901"/>
    <col min="4" max="4" width="26.5703125" style="15901" customWidth="1"/>
    <col min="5" max="5" width="27.7109375" style="15902" customWidth="1"/>
    <col min="6" max="6" width="23.5703125" style="15902" customWidth="1"/>
    <col min="7" max="7" width="31.42578125" style="15902" customWidth="1"/>
    <col min="8" max="8" width="40.85546875" style="15902" customWidth="1"/>
    <col min="9" max="9" width="14.5703125" style="15902" customWidth="1"/>
    <col min="10" max="10" width="26.85546875" style="15902" customWidth="1"/>
    <col min="11" max="11" width="50" style="15902" customWidth="1"/>
    <col min="12" max="12" width="52.42578125" style="15902" customWidth="1"/>
    <col min="13" max="13" width="10.7109375" style="15902" customWidth="1"/>
    <col min="14" max="14" width="55.140625" style="15902" customWidth="1"/>
    <col min="15" max="15" width="31.85546875" style="15902" customWidth="1"/>
    <col min="16" max="16" width="23.85546875" style="15902" customWidth="1"/>
    <col min="17" max="17" width="46.5703125" style="15902" customWidth="1"/>
    <col min="18" max="18" width="24" style="15902" customWidth="1"/>
    <col min="19" max="19" width="20.5703125" style="15902" customWidth="1"/>
    <col min="20" max="20" width="22" style="15902" customWidth="1"/>
    <col min="21" max="22" width="26.42578125" style="15902" customWidth="1"/>
    <col min="23" max="23" width="8.28515625" style="15902" hidden="1" customWidth="1"/>
    <col min="24" max="24" width="59.7109375" style="15902" customWidth="1"/>
    <col min="25" max="25" width="49.140625" style="15902" customWidth="1"/>
    <col min="26" max="26" width="11.140625" style="15902" customWidth="1"/>
    <col min="27" max="30" width="29" style="15902" customWidth="1"/>
    <col min="31" max="31" width="9.140625" style="15902"/>
    <col min="32" max="32" width="34.7109375" style="15902" customWidth="1"/>
    <col min="33" max="33" width="9.140625" style="15902"/>
    <col min="34" max="35" width="34.42578125" style="15902" customWidth="1"/>
    <col min="36" max="36" width="9.140625" style="15902"/>
    <col min="37" max="37" width="24.5703125" style="15902" customWidth="1"/>
    <col min="38" max="38" width="9.140625" style="15902"/>
    <col min="39" max="39" width="26.140625" style="15902" customWidth="1"/>
    <col min="40" max="40" width="1.7109375" style="15902" customWidth="1"/>
    <col min="41" max="41" width="9.140625" style="15902"/>
    <col min="42" max="43" width="47.85546875" style="15902" customWidth="1"/>
    <col min="44" max="44" width="1.7109375" style="15902" customWidth="1"/>
    <col min="45" max="45" width="21.42578125" style="15902" customWidth="1"/>
    <col min="46" max="46" width="1.7109375" style="15902" customWidth="1"/>
    <col min="47" max="47" width="31.28515625" style="15902" customWidth="1"/>
    <col min="48" max="48" width="1.7109375" style="15902" customWidth="1"/>
    <col min="49" max="50" width="9.140625" style="15903"/>
    <col min="51" max="51" width="3.7109375" style="15902" customWidth="1"/>
    <col min="52" max="52" width="60.85546875" style="15902" customWidth="1"/>
    <col min="53" max="53" width="49.28515625" style="15902" customWidth="1"/>
    <col min="54" max="54" width="35.140625" style="15902" customWidth="1"/>
    <col min="55" max="55" width="9.140625" style="15902"/>
    <col min="56" max="56" width="1.7109375" style="15902" customWidth="1"/>
    <col min="57" max="57" width="12.5703125" style="15904" customWidth="1"/>
    <col min="58" max="58" width="14.28515625" style="15904" customWidth="1"/>
    <col min="59" max="59" width="30.7109375" style="15902" customWidth="1"/>
    <col min="60" max="60" width="40.7109375" style="15905" customWidth="1"/>
    <col min="61" max="61" width="15" style="15905" customWidth="1"/>
    <col min="62" max="62" width="40.7109375" style="15905" customWidth="1"/>
    <col min="63" max="63" width="2.7109375" style="15905" customWidth="1"/>
    <col min="64" max="64" width="44.7109375" style="15905" customWidth="1"/>
    <col min="65" max="65" width="2.7109375" style="15905" customWidth="1"/>
    <col min="66" max="66" width="40.7109375" style="15905" customWidth="1"/>
    <col min="67" max="68" width="9.140625" style="15902"/>
    <col min="69" max="69" width="18.140625" style="15902" customWidth="1"/>
    <col min="70" max="70" width="57.85546875" style="15902" customWidth="1"/>
    <col min="71" max="71" width="1.7109375" style="15906" customWidth="1"/>
    <col min="72" max="72" width="22.5703125" style="15902" customWidth="1"/>
    <col min="73" max="73" width="57.85546875" style="15902" customWidth="1"/>
    <col min="74" max="74" width="1.7109375" style="15902" customWidth="1"/>
    <col min="75" max="75" width="22.5703125" style="15902" customWidth="1"/>
    <col min="76" max="76" width="57.85546875" style="15902" customWidth="1"/>
    <col min="77" max="77" width="1.7109375" style="15902" customWidth="1"/>
    <col min="78" max="78" width="22.5703125" style="15902" customWidth="1"/>
    <col min="79" max="79" width="57.85546875" style="15902" customWidth="1"/>
    <col min="80" max="81" width="9.140625" style="15902"/>
    <col min="82" max="82" width="49.5703125" style="15902" customWidth="1"/>
  </cols>
  <sheetData>
    <row r="1" spans="1:79" s="15899" customFormat="1" ht="11.25" customHeight="1">
      <c r="A1" s="953" t="s">
        <v>1219</v>
      </c>
      <c r="B1" s="953" t="s">
        <v>1220</v>
      </c>
      <c r="C1" s="953" t="s">
        <v>1221</v>
      </c>
      <c r="D1" s="953" t="s">
        <v>1222</v>
      </c>
      <c r="E1" s="953" t="s">
        <v>1223</v>
      </c>
      <c r="F1" s="953" t="s">
        <v>1224</v>
      </c>
      <c r="G1" s="953" t="s">
        <v>1225</v>
      </c>
      <c r="H1" s="953" t="s">
        <v>1226</v>
      </c>
      <c r="I1" s="953" t="s">
        <v>1227</v>
      </c>
      <c r="J1" s="953" t="s">
        <v>1228</v>
      </c>
      <c r="K1" s="953" t="s">
        <v>1229</v>
      </c>
      <c r="L1" s="953" t="s">
        <v>1230</v>
      </c>
      <c r="M1" s="953"/>
      <c r="N1" s="953" t="s">
        <v>1231</v>
      </c>
      <c r="O1" s="953" t="s">
        <v>1232</v>
      </c>
      <c r="P1" s="953" t="s">
        <v>1233</v>
      </c>
      <c r="Q1" s="953" t="s">
        <v>1234</v>
      </c>
      <c r="R1" s="953" t="s">
        <v>1235</v>
      </c>
      <c r="S1" s="953" t="s">
        <v>1236</v>
      </c>
      <c r="T1" s="953" t="s">
        <v>1237</v>
      </c>
      <c r="U1" s="953" t="s">
        <v>1238</v>
      </c>
      <c r="V1" s="953"/>
      <c r="W1" s="695" t="s">
        <v>1239</v>
      </c>
      <c r="X1" s="953" t="s">
        <v>1240</v>
      </c>
      <c r="Y1" s="953" t="s">
        <v>1241</v>
      </c>
      <c r="Z1" s="953"/>
      <c r="AA1" s="953" t="s">
        <v>1242</v>
      </c>
      <c r="AB1" s="953"/>
      <c r="AC1" s="953" t="s">
        <v>1243</v>
      </c>
      <c r="AD1" s="953"/>
      <c r="AF1" s="953" t="s">
        <v>1244</v>
      </c>
      <c r="AH1" s="953" t="s">
        <v>1245</v>
      </c>
      <c r="AI1" s="953" t="s">
        <v>1246</v>
      </c>
      <c r="AK1" s="953" t="s">
        <v>1247</v>
      </c>
      <c r="AM1" s="953" t="s">
        <v>1248</v>
      </c>
      <c r="AP1" s="953" t="s">
        <v>1249</v>
      </c>
      <c r="AQ1" s="953" t="s">
        <v>1250</v>
      </c>
      <c r="AS1" s="953" t="s">
        <v>1251</v>
      </c>
      <c r="AU1" s="953" t="s">
        <v>1252</v>
      </c>
      <c r="AW1" s="953" t="s">
        <v>1253</v>
      </c>
      <c r="AX1" s="953" t="s">
        <v>1254</v>
      </c>
      <c r="AZ1" s="1033" t="s">
        <v>1255</v>
      </c>
      <c r="BB1" s="953" t="s">
        <v>1256</v>
      </c>
      <c r="BC1" s="953"/>
      <c r="BE1" s="953" t="s">
        <v>1257</v>
      </c>
      <c r="BF1" s="953" t="s">
        <v>1258</v>
      </c>
      <c r="BH1" s="955" t="s">
        <v>860</v>
      </c>
      <c r="BI1" s="956"/>
      <c r="BJ1" s="957" t="s">
        <v>1259</v>
      </c>
      <c r="BK1" s="956"/>
      <c r="BL1" s="958" t="s">
        <v>961</v>
      </c>
      <c r="BM1" s="956"/>
      <c r="BN1" s="959" t="s">
        <v>1260</v>
      </c>
      <c r="BS1" s="1303"/>
    </row>
    <row r="2" spans="1:79" ht="11.25" customHeight="1">
      <c r="A2" s="960" t="s">
        <v>1261</v>
      </c>
      <c r="B2" s="961">
        <v>2000</v>
      </c>
      <c r="C2" s="961">
        <v>2022</v>
      </c>
      <c r="D2" s="961" t="s">
        <v>66</v>
      </c>
      <c r="E2" s="962" t="s">
        <v>1262</v>
      </c>
      <c r="F2" s="962" t="s">
        <v>1263</v>
      </c>
      <c r="G2" s="962" t="s">
        <v>1264</v>
      </c>
      <c r="H2" s="963" t="s">
        <v>54</v>
      </c>
      <c r="I2" s="962" t="s">
        <v>147</v>
      </c>
      <c r="J2" s="962" t="s">
        <v>1265</v>
      </c>
      <c r="K2" s="964" t="s">
        <v>1266</v>
      </c>
      <c r="L2" s="965"/>
      <c r="M2" s="964">
        <v>1</v>
      </c>
      <c r="N2" s="1043" t="s">
        <v>1267</v>
      </c>
      <c r="O2" s="963" t="s">
        <v>1268</v>
      </c>
      <c r="P2" s="966" t="s">
        <v>1269</v>
      </c>
      <c r="Q2" s="967" t="s">
        <v>1270</v>
      </c>
      <c r="R2" s="70" t="s">
        <v>1271</v>
      </c>
      <c r="S2" s="70" t="s">
        <v>1272</v>
      </c>
      <c r="T2" s="968" t="s">
        <v>1273</v>
      </c>
      <c r="U2" s="965" t="s">
        <v>1274</v>
      </c>
      <c r="V2" s="969">
        <v>1</v>
      </c>
      <c r="W2" s="970"/>
      <c r="X2" s="970" t="s">
        <v>1275</v>
      </c>
      <c r="Y2" s="961" t="s">
        <v>1276</v>
      </c>
      <c r="Z2" s="971"/>
      <c r="AA2" s="961" t="s">
        <v>1277</v>
      </c>
      <c r="AB2" s="972" t="s">
        <v>1277</v>
      </c>
      <c r="AC2" s="961" t="s">
        <v>1278</v>
      </c>
      <c r="AD2" s="972" t="s">
        <v>1278</v>
      </c>
      <c r="AF2" s="963" t="s">
        <v>1274</v>
      </c>
      <c r="AH2" s="962" t="s">
        <v>1279</v>
      </c>
      <c r="AI2" s="962" t="s">
        <v>1279</v>
      </c>
      <c r="AK2" s="962" t="s">
        <v>1280</v>
      </c>
      <c r="AM2" s="962" t="s">
        <v>1281</v>
      </c>
      <c r="AP2" s="973" t="s">
        <v>1275</v>
      </c>
      <c r="AQ2" s="974" t="s">
        <v>1275</v>
      </c>
      <c r="AS2" s="961" t="s">
        <v>1282</v>
      </c>
      <c r="AU2" s="1004" t="s">
        <v>1283</v>
      </c>
      <c r="AW2" s="1004" t="s">
        <v>1284</v>
      </c>
      <c r="AX2" s="1004" t="s">
        <v>1284</v>
      </c>
      <c r="AZ2" s="1004" t="s">
        <v>1285</v>
      </c>
      <c r="BB2" s="1004" t="s">
        <v>1286</v>
      </c>
      <c r="BC2" s="1004" t="s">
        <v>1287</v>
      </c>
      <c r="BE2" s="1004">
        <v>2000</v>
      </c>
      <c r="BF2" s="1004" t="s">
        <v>1288</v>
      </c>
    </row>
    <row r="3" spans="1:79" ht="11.25" customHeight="1">
      <c r="A3" s="960" t="s">
        <v>1289</v>
      </c>
      <c r="B3" s="961">
        <v>2001</v>
      </c>
      <c r="C3" s="961">
        <v>2023</v>
      </c>
      <c r="D3" s="961" t="s">
        <v>56</v>
      </c>
      <c r="E3" s="962" t="s">
        <v>1290</v>
      </c>
      <c r="F3" s="962" t="s">
        <v>1291</v>
      </c>
      <c r="G3" s="962" t="s">
        <v>1292</v>
      </c>
      <c r="H3" s="963" t="s">
        <v>1293</v>
      </c>
      <c r="I3" s="962" t="s">
        <v>102</v>
      </c>
      <c r="J3" s="962" t="s">
        <v>694</v>
      </c>
      <c r="K3" s="964" t="s">
        <v>1294</v>
      </c>
      <c r="L3" s="965">
        <f>IFERROR(MATCH(K3,OFFER_METHOD,0),0)</f>
        <v>0</v>
      </c>
      <c r="M3" s="964">
        <v>2</v>
      </c>
      <c r="N3" s="1043" t="s">
        <v>1295</v>
      </c>
      <c r="O3" s="963" t="s">
        <v>1296</v>
      </c>
      <c r="P3" s="966" t="s">
        <v>33</v>
      </c>
      <c r="Q3" s="967" t="s">
        <v>1297</v>
      </c>
      <c r="R3" s="70" t="s">
        <v>1298</v>
      </c>
      <c r="S3" s="70" t="s">
        <v>1299</v>
      </c>
      <c r="T3" s="968" t="s">
        <v>1300</v>
      </c>
      <c r="U3" s="965" t="s">
        <v>1301</v>
      </c>
      <c r="V3" s="969">
        <v>2</v>
      </c>
      <c r="W3" s="970"/>
      <c r="X3" s="970" t="s">
        <v>1302</v>
      </c>
      <c r="Y3" s="961" t="s">
        <v>1276</v>
      </c>
      <c r="Z3" s="971"/>
      <c r="AA3" s="961" t="s">
        <v>1303</v>
      </c>
      <c r="AB3" s="972" t="s">
        <v>1303</v>
      </c>
      <c r="AC3" s="961" t="s">
        <v>1304</v>
      </c>
      <c r="AD3" s="972" t="s">
        <v>1304</v>
      </c>
      <c r="AF3" s="963" t="s">
        <v>1301</v>
      </c>
      <c r="AH3" s="962" t="s">
        <v>1305</v>
      </c>
      <c r="AI3" s="962" t="s">
        <v>1306</v>
      </c>
      <c r="AK3" s="962" t="s">
        <v>1307</v>
      </c>
      <c r="AM3" s="962" t="s">
        <v>1308</v>
      </c>
      <c r="AP3" s="973" t="s">
        <v>1309</v>
      </c>
      <c r="AQ3" s="974" t="s">
        <v>1309</v>
      </c>
      <c r="AS3" s="961" t="s">
        <v>1310</v>
      </c>
      <c r="AU3" s="1004" t="s">
        <v>1311</v>
      </c>
      <c r="AW3" s="1004" t="s">
        <v>1312</v>
      </c>
      <c r="AX3" s="1004" t="s">
        <v>1312</v>
      </c>
      <c r="AZ3" s="1004" t="s">
        <v>1313</v>
      </c>
      <c r="BB3" s="1004" t="s">
        <v>1314</v>
      </c>
      <c r="BC3" s="1004" t="s">
        <v>1287</v>
      </c>
      <c r="BE3" s="1004">
        <v>2001</v>
      </c>
      <c r="BF3" s="1004" t="s">
        <v>1315</v>
      </c>
      <c r="BH3" s="953" t="s">
        <v>1316</v>
      </c>
      <c r="BJ3" s="953" t="s">
        <v>1317</v>
      </c>
      <c r="BL3" s="953" t="s">
        <v>1318</v>
      </c>
      <c r="BN3" s="953" t="s">
        <v>1319</v>
      </c>
      <c r="BR3" s="953" t="s">
        <v>1320</v>
      </c>
      <c r="BS3" s="1304"/>
      <c r="BT3" s="956"/>
      <c r="BU3" s="953" t="s">
        <v>1321</v>
      </c>
      <c r="BV3" s="956"/>
      <c r="BW3" s="1553"/>
      <c r="BX3" s="1555" t="s">
        <v>1322</v>
      </c>
      <c r="CA3" s="953" t="s">
        <v>1323</v>
      </c>
    </row>
    <row r="4" spans="1:79" ht="11.25" customHeight="1">
      <c r="A4" s="960" t="s">
        <v>1324</v>
      </c>
      <c r="B4" s="961">
        <v>2002</v>
      </c>
      <c r="C4" s="961">
        <v>2024</v>
      </c>
      <c r="E4" s="962" t="s">
        <v>1325</v>
      </c>
      <c r="F4" s="962" t="s">
        <v>1326</v>
      </c>
      <c r="H4" s="963" t="s">
        <v>1327</v>
      </c>
      <c r="I4" s="962" t="s">
        <v>89</v>
      </c>
      <c r="J4" s="962" t="s">
        <v>1328</v>
      </c>
      <c r="K4" s="964" t="s">
        <v>1329</v>
      </c>
      <c r="L4" s="965">
        <f>IFERROR(MATCH(K4,OFFER_METHOD,0),0)</f>
        <v>0</v>
      </c>
      <c r="M4" s="964">
        <v>3</v>
      </c>
      <c r="N4" s="1043" t="s">
        <v>1330</v>
      </c>
      <c r="O4" s="962" t="s">
        <v>1331</v>
      </c>
      <c r="Q4" s="967" t="s">
        <v>1332</v>
      </c>
      <c r="R4" s="70" t="s">
        <v>1333</v>
      </c>
      <c r="S4" s="70" t="s">
        <v>1334</v>
      </c>
      <c r="T4" s="968" t="s">
        <v>1335</v>
      </c>
      <c r="U4" s="965" t="s">
        <v>1336</v>
      </c>
      <c r="V4" s="969">
        <v>3</v>
      </c>
      <c r="W4" s="970"/>
      <c r="X4" s="970" t="s">
        <v>1337</v>
      </c>
      <c r="Y4" s="961" t="s">
        <v>1276</v>
      </c>
      <c r="Z4" s="976"/>
      <c r="AC4" s="961" t="s">
        <v>1338</v>
      </c>
      <c r="AD4" s="972" t="s">
        <v>1338</v>
      </c>
      <c r="AF4" s="963" t="s">
        <v>1336</v>
      </c>
      <c r="AH4" s="963" t="s">
        <v>1339</v>
      </c>
      <c r="AK4" s="962" t="s">
        <v>1340</v>
      </c>
      <c r="AM4" s="962" t="s">
        <v>1341</v>
      </c>
      <c r="AP4" s="973" t="s">
        <v>1302</v>
      </c>
      <c r="AQ4" s="974" t="s">
        <v>1302</v>
      </c>
      <c r="AS4" s="961" t="s">
        <v>1342</v>
      </c>
      <c r="AU4" s="1004" t="s">
        <v>1343</v>
      </c>
      <c r="AW4" s="1004" t="s">
        <v>1344</v>
      </c>
      <c r="AX4" s="1004" t="s">
        <v>1344</v>
      </c>
      <c r="AZ4" s="1004" t="s">
        <v>1345</v>
      </c>
      <c r="BB4" s="1004" t="s">
        <v>1346</v>
      </c>
      <c r="BC4" s="1004" t="s">
        <v>1347</v>
      </c>
      <c r="BE4" s="1004">
        <v>2002</v>
      </c>
      <c r="BF4" s="1004" t="s">
        <v>1348</v>
      </c>
      <c r="BH4" s="954" t="s">
        <v>1349</v>
      </c>
      <c r="BJ4" s="954" t="s">
        <v>1349</v>
      </c>
      <c r="BL4" s="954" t="s">
        <v>1349</v>
      </c>
      <c r="BN4" s="954" t="s">
        <v>1349</v>
      </c>
      <c r="BQ4" s="1308" t="s">
        <v>1350</v>
      </c>
      <c r="BR4" s="1040" t="s">
        <v>1351</v>
      </c>
      <c r="BS4" s="193"/>
      <c r="BT4" s="1308" t="s">
        <v>1352</v>
      </c>
      <c r="BU4" s="1040" t="s">
        <v>1353</v>
      </c>
      <c r="BV4" s="956"/>
      <c r="BW4" s="1560" t="s">
        <v>1354</v>
      </c>
      <c r="BX4" s="1554" t="s">
        <v>1355</v>
      </c>
      <c r="BZ4" s="1308" t="s">
        <v>1356</v>
      </c>
      <c r="CA4" s="1040" t="s">
        <v>1357</v>
      </c>
    </row>
    <row r="5" spans="1:79" ht="11.25" customHeight="1">
      <c r="A5" s="960" t="s">
        <v>1358</v>
      </c>
      <c r="B5" s="961">
        <v>2003</v>
      </c>
      <c r="C5" s="961">
        <v>2025</v>
      </c>
      <c r="E5" s="962" t="s">
        <v>1359</v>
      </c>
      <c r="F5" s="962" t="s">
        <v>1360</v>
      </c>
      <c r="H5" s="963" t="s">
        <v>1361</v>
      </c>
      <c r="I5" s="962" t="s">
        <v>90</v>
      </c>
      <c r="K5" s="964" t="s">
        <v>1362</v>
      </c>
      <c r="L5" s="965">
        <f>IFERROR(MATCH(K5,OFFER_METHOD,0),0)</f>
        <v>0</v>
      </c>
      <c r="M5" s="964">
        <v>4</v>
      </c>
      <c r="N5" s="977" t="s">
        <v>1363</v>
      </c>
      <c r="O5" s="962" t="s">
        <v>1364</v>
      </c>
      <c r="Q5" s="967" t="s">
        <v>1365</v>
      </c>
      <c r="R5" s="70" t="s">
        <v>679</v>
      </c>
      <c r="T5" s="963" t="s">
        <v>1366</v>
      </c>
      <c r="U5" s="965" t="s">
        <v>1367</v>
      </c>
      <c r="V5" s="969">
        <v>4</v>
      </c>
      <c r="W5" s="970"/>
      <c r="X5" s="970" t="s">
        <v>197</v>
      </c>
      <c r="Y5" s="961" t="s">
        <v>1368</v>
      </c>
      <c r="Z5" s="976">
        <v>1</v>
      </c>
      <c r="AF5" s="963" t="s">
        <v>1369</v>
      </c>
      <c r="AH5" s="962" t="s">
        <v>1370</v>
      </c>
      <c r="AK5" s="962" t="s">
        <v>1371</v>
      </c>
      <c r="AM5" s="962" t="s">
        <v>1372</v>
      </c>
      <c r="AP5" s="973" t="s">
        <v>197</v>
      </c>
      <c r="AQ5" s="974" t="s">
        <v>197</v>
      </c>
      <c r="AU5" s="1004" t="s">
        <v>1373</v>
      </c>
      <c r="AW5" s="1004" t="s">
        <v>1374</v>
      </c>
      <c r="AX5" s="1004" t="s">
        <v>1374</v>
      </c>
      <c r="AZ5" s="1004" t="s">
        <v>1375</v>
      </c>
      <c r="BB5" s="1004" t="s">
        <v>1376</v>
      </c>
      <c r="BC5" s="1004" t="s">
        <v>1377</v>
      </c>
      <c r="BE5" s="1004">
        <v>2003</v>
      </c>
      <c r="BF5" s="1004" t="s">
        <v>1378</v>
      </c>
      <c r="BH5" s="954" t="s">
        <v>1379</v>
      </c>
      <c r="BJ5" s="954" t="s">
        <v>1379</v>
      </c>
      <c r="BL5" s="954" t="s">
        <v>1379</v>
      </c>
      <c r="BN5" s="954" t="s">
        <v>1380</v>
      </c>
      <c r="BQ5" s="1163">
        <v>4213775</v>
      </c>
      <c r="BR5" s="954" t="s">
        <v>1275</v>
      </c>
      <c r="BS5" s="1305"/>
      <c r="BT5" s="1163">
        <v>64236871</v>
      </c>
      <c r="BU5" s="954" t="s">
        <v>258</v>
      </c>
      <c r="BV5" s="956"/>
      <c r="BW5" s="1558">
        <v>4213767</v>
      </c>
      <c r="BX5" s="1556" t="s">
        <v>1381</v>
      </c>
      <c r="BZ5" s="1163">
        <v>64237509</v>
      </c>
      <c r="CA5" s="1175" t="s">
        <v>1382</v>
      </c>
    </row>
    <row r="6" spans="1:79" ht="11.25" customHeight="1">
      <c r="A6" s="960" t="s">
        <v>1383</v>
      </c>
      <c r="B6" s="961">
        <v>2004</v>
      </c>
      <c r="C6" s="961">
        <v>2026</v>
      </c>
      <c r="E6" s="962" t="s">
        <v>1384</v>
      </c>
      <c r="F6" s="978"/>
      <c r="H6" s="963" t="s">
        <v>1385</v>
      </c>
      <c r="I6" s="962" t="s">
        <v>117</v>
      </c>
      <c r="J6" s="953" t="s">
        <v>1386</v>
      </c>
      <c r="L6" s="965">
        <f>SUM(kind_of_control_method_filter)</f>
        <v>0</v>
      </c>
      <c r="N6" s="977" t="s">
        <v>1387</v>
      </c>
      <c r="O6" s="962" t="s">
        <v>1388</v>
      </c>
      <c r="R6" s="70" t="s">
        <v>1270</v>
      </c>
      <c r="T6" s="963" t="s">
        <v>1389</v>
      </c>
      <c r="U6" s="965" t="s">
        <v>1369</v>
      </c>
      <c r="V6" s="969">
        <v>5</v>
      </c>
      <c r="W6" s="970"/>
      <c r="X6" s="961" t="s">
        <v>203</v>
      </c>
      <c r="Y6" s="961" t="s">
        <v>1390</v>
      </c>
      <c r="Z6" s="976"/>
      <c r="AA6" s="979"/>
      <c r="AH6" s="962" t="s">
        <v>1391</v>
      </c>
      <c r="AK6" s="962" t="s">
        <v>1392</v>
      </c>
      <c r="AM6" s="962" t="s">
        <v>1393</v>
      </c>
      <c r="AP6" s="973" t="s">
        <v>203</v>
      </c>
      <c r="AQ6" s="974" t="s">
        <v>203</v>
      </c>
      <c r="AU6" s="1004" t="s">
        <v>1394</v>
      </c>
      <c r="AW6" s="1004" t="s">
        <v>1395</v>
      </c>
      <c r="AX6" s="1004" t="s">
        <v>1395</v>
      </c>
      <c r="BB6" s="1004" t="s">
        <v>1396</v>
      </c>
      <c r="BC6" s="1004" t="s">
        <v>1377</v>
      </c>
      <c r="BE6" s="1004">
        <v>2004</v>
      </c>
      <c r="BF6" s="1004" t="s">
        <v>1397</v>
      </c>
      <c r="BH6" s="954" t="s">
        <v>1398</v>
      </c>
      <c r="BJ6" s="954" t="s">
        <v>1399</v>
      </c>
      <c r="BL6" s="954" t="s">
        <v>1399</v>
      </c>
      <c r="BN6" s="954" t="s">
        <v>1400</v>
      </c>
      <c r="BQ6" s="1163">
        <v>4213784</v>
      </c>
      <c r="BR6" s="1175" t="s">
        <v>1309</v>
      </c>
      <c r="BS6" s="1306"/>
      <c r="BT6" s="1163">
        <v>64236872</v>
      </c>
      <c r="BU6" s="954" t="s">
        <v>263</v>
      </c>
      <c r="BV6" s="956"/>
      <c r="BW6" s="1558">
        <v>4213768</v>
      </c>
      <c r="BX6" s="1556" t="s">
        <v>391</v>
      </c>
      <c r="BZ6" s="1163">
        <v>64237510</v>
      </c>
      <c r="CA6" s="954" t="s">
        <v>1401</v>
      </c>
    </row>
    <row r="7" spans="1:79" ht="11.25" customHeight="1">
      <c r="A7" s="960" t="s">
        <v>1402</v>
      </c>
      <c r="B7" s="961">
        <v>2005</v>
      </c>
      <c r="E7" s="962" t="s">
        <v>1403</v>
      </c>
      <c r="F7" s="978"/>
      <c r="H7" s="963" t="s">
        <v>1404</v>
      </c>
      <c r="I7" s="962" t="s">
        <v>91</v>
      </c>
      <c r="J7" s="962" t="s">
        <v>1405</v>
      </c>
      <c r="N7" s="981" t="s">
        <v>1406</v>
      </c>
      <c r="O7" s="962" t="s">
        <v>1407</v>
      </c>
      <c r="U7" s="965" t="s">
        <v>56</v>
      </c>
      <c r="V7" s="285" t="s">
        <v>91</v>
      </c>
      <c r="W7" s="970"/>
      <c r="X7" s="961" t="s">
        <v>209</v>
      </c>
      <c r="Y7" s="961" t="s">
        <v>1368</v>
      </c>
      <c r="Z7" s="976"/>
      <c r="AA7" s="979"/>
      <c r="AH7" s="962" t="s">
        <v>1408</v>
      </c>
      <c r="AK7" s="962" t="s">
        <v>1409</v>
      </c>
      <c r="AM7" s="962" t="s">
        <v>1410</v>
      </c>
      <c r="AP7" s="973" t="s">
        <v>209</v>
      </c>
      <c r="AQ7" s="974" t="s">
        <v>209</v>
      </c>
      <c r="AU7" s="1004" t="s">
        <v>1411</v>
      </c>
      <c r="AW7" s="1004" t="s">
        <v>1412</v>
      </c>
      <c r="AX7" s="1004" t="s">
        <v>1412</v>
      </c>
      <c r="AZ7" s="953" t="s">
        <v>1413</v>
      </c>
      <c r="BB7" s="1004" t="s">
        <v>1414</v>
      </c>
      <c r="BC7" s="1004" t="s">
        <v>1377</v>
      </c>
      <c r="BE7" s="1004">
        <v>2005</v>
      </c>
      <c r="BF7" s="1004" t="s">
        <v>1415</v>
      </c>
      <c r="BH7" s="954" t="s">
        <v>1416</v>
      </c>
      <c r="BJ7" s="954" t="s">
        <v>1398</v>
      </c>
      <c r="BL7" s="954" t="s">
        <v>1398</v>
      </c>
      <c r="BN7" s="954" t="s">
        <v>1417</v>
      </c>
      <c r="BQ7" s="1163">
        <v>4213781</v>
      </c>
      <c r="BR7" s="954" t="s">
        <v>1302</v>
      </c>
      <c r="BS7" s="1305"/>
      <c r="BT7" s="1163">
        <v>64236873</v>
      </c>
      <c r="BU7" s="954" t="s">
        <v>268</v>
      </c>
      <c r="BV7" s="956"/>
      <c r="BW7" s="1558">
        <v>4213769</v>
      </c>
      <c r="BX7" s="1556" t="s">
        <v>1418</v>
      </c>
      <c r="BZ7" s="1163">
        <v>64237511</v>
      </c>
      <c r="CA7" s="954" t="s">
        <v>406</v>
      </c>
    </row>
    <row r="8" spans="1:79" ht="11.25" customHeight="1">
      <c r="A8" s="960" t="s">
        <v>1419</v>
      </c>
      <c r="B8" s="961">
        <v>2006</v>
      </c>
      <c r="E8" s="962" t="s">
        <v>1420</v>
      </c>
      <c r="F8" s="978"/>
      <c r="H8" s="963" t="s">
        <v>1421</v>
      </c>
      <c r="I8" s="962" t="s">
        <v>92</v>
      </c>
      <c r="J8" s="962" t="s">
        <v>1422</v>
      </c>
      <c r="N8" s="1044" t="s">
        <v>1423</v>
      </c>
      <c r="O8" s="962" t="s">
        <v>1424</v>
      </c>
      <c r="V8" s="285" t="s">
        <v>92</v>
      </c>
      <c r="W8" s="970"/>
      <c r="X8" s="961" t="s">
        <v>215</v>
      </c>
      <c r="Y8" s="961" t="s">
        <v>1368</v>
      </c>
      <c r="Z8" s="976"/>
      <c r="AA8" s="979"/>
      <c r="AK8" s="962" t="s">
        <v>1425</v>
      </c>
      <c r="AP8" s="973" t="s">
        <v>215</v>
      </c>
      <c r="AQ8" s="974" t="s">
        <v>215</v>
      </c>
      <c r="AU8" s="1004" t="s">
        <v>1426</v>
      </c>
      <c r="AW8" s="1004" t="s">
        <v>1427</v>
      </c>
      <c r="AX8" s="1004" t="s">
        <v>1427</v>
      </c>
      <c r="AZ8" s="1004" t="s">
        <v>1428</v>
      </c>
      <c r="BB8" s="1004" t="s">
        <v>1429</v>
      </c>
      <c r="BC8" s="1004" t="s">
        <v>1377</v>
      </c>
      <c r="BE8" s="1004">
        <v>2006</v>
      </c>
      <c r="BF8" s="1004" t="s">
        <v>1430</v>
      </c>
      <c r="BH8" s="954" t="s">
        <v>1431</v>
      </c>
      <c r="BJ8" s="954" t="s">
        <v>1432</v>
      </c>
      <c r="BL8" s="954" t="s">
        <v>1432</v>
      </c>
      <c r="BN8" s="954" t="s">
        <v>1433</v>
      </c>
      <c r="BQ8" s="1163">
        <v>4213776</v>
      </c>
      <c r="BR8" s="954" t="s">
        <v>197</v>
      </c>
      <c r="BS8" s="1305"/>
      <c r="BT8" s="1163">
        <v>64236874</v>
      </c>
      <c r="BU8" s="1175" t="s">
        <v>1434</v>
      </c>
      <c r="BV8" s="956"/>
      <c r="BW8" s="1558">
        <v>4213770</v>
      </c>
      <c r="BX8" s="1559" t="s">
        <v>1435</v>
      </c>
      <c r="BZ8" s="1163">
        <v>64237512</v>
      </c>
      <c r="CA8" s="954" t="s">
        <v>401</v>
      </c>
    </row>
    <row r="9" spans="1:79" ht="11.25" customHeight="1">
      <c r="A9" s="960" t="s">
        <v>1436</v>
      </c>
      <c r="B9" s="961">
        <v>2007</v>
      </c>
      <c r="E9" s="962" t="s">
        <v>1437</v>
      </c>
      <c r="F9" s="978"/>
      <c r="G9" s="953" t="s">
        <v>1438</v>
      </c>
      <c r="H9" s="953" t="s">
        <v>1439</v>
      </c>
      <c r="I9" s="962" t="s">
        <v>132</v>
      </c>
      <c r="O9" s="962" t="s">
        <v>1440</v>
      </c>
      <c r="V9" s="285" t="s">
        <v>132</v>
      </c>
      <c r="W9" s="970"/>
      <c r="X9" s="961" t="s">
        <v>221</v>
      </c>
      <c r="Y9" s="961" t="s">
        <v>1276</v>
      </c>
      <c r="Z9" s="976">
        <v>1</v>
      </c>
      <c r="AA9" s="979"/>
      <c r="AK9" s="962" t="s">
        <v>1441</v>
      </c>
      <c r="AP9" s="973" t="s">
        <v>1442</v>
      </c>
      <c r="AQ9" s="974" t="s">
        <v>1442</v>
      </c>
      <c r="AW9" s="1004" t="s">
        <v>1443</v>
      </c>
      <c r="AX9" s="1004" t="s">
        <v>1443</v>
      </c>
      <c r="AZ9" s="1004" t="s">
        <v>1444</v>
      </c>
      <c r="BB9" s="1004" t="s">
        <v>1445</v>
      </c>
      <c r="BC9" s="1004" t="s">
        <v>1377</v>
      </c>
      <c r="BE9" s="1004">
        <v>2007</v>
      </c>
      <c r="BF9" s="1004" t="s">
        <v>1446</v>
      </c>
      <c r="BH9" s="954" t="s">
        <v>1447</v>
      </c>
      <c r="BJ9" s="954" t="s">
        <v>1448</v>
      </c>
      <c r="BL9" s="954" t="s">
        <v>1448</v>
      </c>
      <c r="BN9" s="954" t="s">
        <v>1449</v>
      </c>
      <c r="BQ9" s="1163">
        <v>4213777</v>
      </c>
      <c r="BR9" s="954" t="s">
        <v>203</v>
      </c>
      <c r="BS9" s="1305"/>
      <c r="BT9" s="1163">
        <v>64236875</v>
      </c>
      <c r="BU9" s="954" t="s">
        <v>273</v>
      </c>
      <c r="BV9" s="956"/>
      <c r="BW9" s="1553"/>
      <c r="BX9" s="1553"/>
    </row>
    <row r="10" spans="1:79" ht="11.25" customHeight="1">
      <c r="A10" s="960" t="s">
        <v>1450</v>
      </c>
      <c r="B10" s="961">
        <v>2008</v>
      </c>
      <c r="E10" s="962" t="s">
        <v>1451</v>
      </c>
      <c r="F10" s="978"/>
      <c r="G10" s="962" t="s">
        <v>1452</v>
      </c>
      <c r="H10" s="962" t="s">
        <v>1453</v>
      </c>
      <c r="I10" s="962" t="s">
        <v>136</v>
      </c>
      <c r="J10" s="953" t="s">
        <v>1454</v>
      </c>
      <c r="K10" s="953" t="s">
        <v>1455</v>
      </c>
      <c r="O10" s="962" t="s">
        <v>1456</v>
      </c>
      <c r="V10" s="286" t="s">
        <v>136</v>
      </c>
      <c r="W10" s="982"/>
      <c r="X10" s="982" t="s">
        <v>233</v>
      </c>
      <c r="Y10" s="983" t="s">
        <v>1457</v>
      </c>
      <c r="Z10" s="976"/>
      <c r="AP10" s="973" t="s">
        <v>233</v>
      </c>
      <c r="AQ10" s="974" t="s">
        <v>233</v>
      </c>
      <c r="AW10" s="1004" t="s">
        <v>1458</v>
      </c>
      <c r="AX10" s="1004" t="s">
        <v>1458</v>
      </c>
      <c r="AZ10" s="1004" t="s">
        <v>1459</v>
      </c>
      <c r="BB10" s="1004" t="s">
        <v>1460</v>
      </c>
      <c r="BC10" s="1004" t="s">
        <v>1377</v>
      </c>
      <c r="BE10" s="1004">
        <v>2008</v>
      </c>
      <c r="BF10" s="1004" t="s">
        <v>1461</v>
      </c>
      <c r="BH10" s="954" t="s">
        <v>1462</v>
      </c>
      <c r="BJ10" s="954" t="s">
        <v>1463</v>
      </c>
      <c r="BL10" s="954" t="s">
        <v>1463</v>
      </c>
      <c r="BN10" s="954" t="s">
        <v>1464</v>
      </c>
      <c r="BQ10" s="1163">
        <v>4213778</v>
      </c>
      <c r="BR10" s="954" t="s">
        <v>209</v>
      </c>
      <c r="BS10" s="1305"/>
      <c r="BT10" s="1163">
        <v>64236876</v>
      </c>
      <c r="BU10" s="954" t="s">
        <v>253</v>
      </c>
      <c r="BV10" s="956"/>
      <c r="BW10" s="1553"/>
      <c r="BX10" s="1553"/>
    </row>
    <row r="11" spans="1:79" ht="11.25" customHeight="1">
      <c r="A11" s="960" t="s">
        <v>1465</v>
      </c>
      <c r="B11" s="961">
        <v>2009</v>
      </c>
      <c r="E11" s="962" t="s">
        <v>1466</v>
      </c>
      <c r="F11" s="978"/>
      <c r="G11" s="962" t="s">
        <v>1467</v>
      </c>
      <c r="H11" s="962" t="s">
        <v>1468</v>
      </c>
      <c r="I11" s="962" t="s">
        <v>128</v>
      </c>
      <c r="J11" s="963" t="s">
        <v>1469</v>
      </c>
      <c r="K11" s="984" t="s">
        <v>1470</v>
      </c>
      <c r="O11" s="963" t="s">
        <v>1471</v>
      </c>
      <c r="V11" s="285" t="s">
        <v>128</v>
      </c>
      <c r="W11" s="194"/>
      <c r="X11" s="970" t="s">
        <v>1442</v>
      </c>
      <c r="Y11" s="961" t="s">
        <v>1472</v>
      </c>
      <c r="Z11" s="976"/>
      <c r="AP11" s="973" t="s">
        <v>221</v>
      </c>
      <c r="AQ11" s="975" t="s">
        <v>221</v>
      </c>
      <c r="AW11" s="1004" t="s">
        <v>1473</v>
      </c>
      <c r="AX11" s="1004" t="s">
        <v>1473</v>
      </c>
      <c r="AZ11" s="1004" t="s">
        <v>1474</v>
      </c>
      <c r="BB11" s="1004" t="s">
        <v>1475</v>
      </c>
      <c r="BC11" s="1004" t="s">
        <v>1377</v>
      </c>
      <c r="BE11" s="1004">
        <v>2009</v>
      </c>
      <c r="BF11" s="1004" t="s">
        <v>1476</v>
      </c>
      <c r="BH11" s="954" t="s">
        <v>1477</v>
      </c>
      <c r="BJ11" s="954" t="s">
        <v>1447</v>
      </c>
      <c r="BL11" s="954" t="s">
        <v>1447</v>
      </c>
      <c r="BN11" s="954" t="s">
        <v>1478</v>
      </c>
      <c r="BQ11" s="1163">
        <v>4213780</v>
      </c>
      <c r="BR11" s="954" t="s">
        <v>215</v>
      </c>
      <c r="BS11" s="1305"/>
      <c r="BW11" s="1553"/>
      <c r="BX11" s="1553"/>
    </row>
    <row r="12" spans="1:79" ht="11.25" customHeight="1">
      <c r="A12" s="960" t="s">
        <v>1479</v>
      </c>
      <c r="B12" s="961">
        <v>2010</v>
      </c>
      <c r="E12" s="962" t="s">
        <v>1480</v>
      </c>
      <c r="F12" s="978"/>
      <c r="G12" s="962" t="s">
        <v>1468</v>
      </c>
      <c r="I12" s="962" t="s">
        <v>138</v>
      </c>
      <c r="J12" s="963" t="s">
        <v>1481</v>
      </c>
      <c r="K12" s="984" t="s">
        <v>1482</v>
      </c>
      <c r="O12" s="963" t="s">
        <v>1270</v>
      </c>
      <c r="V12" s="285" t="s">
        <v>138</v>
      </c>
      <c r="W12" s="975"/>
      <c r="X12" s="970" t="s">
        <v>1483</v>
      </c>
      <c r="Y12" s="961" t="s">
        <v>1276</v>
      </c>
      <c r="AP12" s="973"/>
      <c r="AW12" s="1004" t="s">
        <v>128</v>
      </c>
      <c r="AX12" s="1004" t="s">
        <v>128</v>
      </c>
      <c r="AZ12" s="1004" t="s">
        <v>1484</v>
      </c>
      <c r="BB12" s="1004" t="s">
        <v>1485</v>
      </c>
      <c r="BC12" s="1004" t="s">
        <v>1377</v>
      </c>
      <c r="BE12" s="1004">
        <v>2010</v>
      </c>
      <c r="BF12" s="1004" t="s">
        <v>1486</v>
      </c>
      <c r="BH12" s="954" t="s">
        <v>1487</v>
      </c>
      <c r="BJ12" s="954" t="s">
        <v>1488</v>
      </c>
      <c r="BL12" s="954" t="s">
        <v>1488</v>
      </c>
      <c r="BN12" s="954" t="s">
        <v>1489</v>
      </c>
      <c r="BQ12" s="1163">
        <v>4213779</v>
      </c>
      <c r="BR12" s="954" t="s">
        <v>1442</v>
      </c>
      <c r="BS12" s="1305"/>
      <c r="BT12" s="956"/>
      <c r="BU12" s="956"/>
      <c r="BV12" s="956"/>
      <c r="BW12" s="1553"/>
      <c r="BX12" s="1553"/>
    </row>
    <row r="13" spans="1:79" ht="11.25" customHeight="1">
      <c r="A13" s="960" t="s">
        <v>1490</v>
      </c>
      <c r="B13" s="961">
        <v>2011</v>
      </c>
      <c r="E13" s="962" t="s">
        <v>1491</v>
      </c>
      <c r="F13" s="978"/>
      <c r="I13" s="962" t="s">
        <v>183</v>
      </c>
      <c r="K13" s="984" t="s">
        <v>1441</v>
      </c>
      <c r="V13" s="285" t="s">
        <v>183</v>
      </c>
      <c r="W13" s="975"/>
      <c r="X13" s="975"/>
      <c r="Y13" s="975"/>
      <c r="AW13" s="1004" t="s">
        <v>138</v>
      </c>
      <c r="AX13" s="1004" t="s">
        <v>138</v>
      </c>
      <c r="BB13" s="1004" t="s">
        <v>1492</v>
      </c>
      <c r="BC13" s="1004" t="s">
        <v>1493</v>
      </c>
      <c r="BE13" s="1004">
        <v>2011</v>
      </c>
      <c r="BF13" s="1004" t="s">
        <v>1494</v>
      </c>
      <c r="BH13" s="954" t="s">
        <v>1495</v>
      </c>
      <c r="BJ13" s="954" t="s">
        <v>1477</v>
      </c>
      <c r="BL13" s="954" t="s">
        <v>1477</v>
      </c>
      <c r="BN13" s="954" t="s">
        <v>1496</v>
      </c>
      <c r="BQ13" s="1163">
        <v>4213783</v>
      </c>
      <c r="BR13" s="954" t="s">
        <v>233</v>
      </c>
      <c r="BS13" s="1305"/>
      <c r="BT13" s="956"/>
      <c r="BU13" s="956"/>
      <c r="BV13" s="956"/>
      <c r="BW13" s="1557"/>
      <c r="BX13" s="1553"/>
    </row>
    <row r="14" spans="1:79" ht="11.25" customHeight="1">
      <c r="A14" s="960" t="s">
        <v>1497</v>
      </c>
      <c r="B14" s="961">
        <v>2012</v>
      </c>
      <c r="I14" s="962" t="s">
        <v>184</v>
      </c>
      <c r="J14" s="953" t="s">
        <v>1498</v>
      </c>
      <c r="N14" s="953" t="s">
        <v>1499</v>
      </c>
      <c r="V14" s="969">
        <v>13</v>
      </c>
      <c r="W14" s="970"/>
      <c r="X14" s="970" t="s">
        <v>1309</v>
      </c>
      <c r="Y14" s="961" t="s">
        <v>1276</v>
      </c>
      <c r="AW14" s="1004" t="s">
        <v>183</v>
      </c>
      <c r="AX14" s="1004" t="s">
        <v>183</v>
      </c>
      <c r="AZ14" s="953" t="s">
        <v>1500</v>
      </c>
      <c r="BB14" s="1004" t="s">
        <v>1501</v>
      </c>
      <c r="BC14" s="1004" t="s">
        <v>1493</v>
      </c>
      <c r="BE14" s="1004">
        <v>2012</v>
      </c>
      <c r="BH14" s="954" t="s">
        <v>1417</v>
      </c>
      <c r="BJ14" s="1100" t="s">
        <v>1502</v>
      </c>
      <c r="BL14" s="1100" t="s">
        <v>1502</v>
      </c>
      <c r="BN14" s="954" t="s">
        <v>1503</v>
      </c>
      <c r="BQ14" s="1163">
        <v>4213782</v>
      </c>
      <c r="BR14" s="954" t="s">
        <v>221</v>
      </c>
      <c r="BS14" s="1305"/>
      <c r="BT14" s="956"/>
      <c r="BU14" s="956"/>
      <c r="BV14" s="956"/>
      <c r="BW14" s="1557"/>
      <c r="BX14" s="1553"/>
    </row>
    <row r="15" spans="1:79" ht="19.5" customHeight="1">
      <c r="A15" s="960" t="s">
        <v>1504</v>
      </c>
      <c r="B15" s="961">
        <v>2013</v>
      </c>
      <c r="E15" s="1561" t="s">
        <v>1505</v>
      </c>
      <c r="G15" s="953" t="s">
        <v>1506</v>
      </c>
      <c r="H15" s="953" t="s">
        <v>1507</v>
      </c>
      <c r="I15" s="964" t="s">
        <v>105</v>
      </c>
      <c r="J15" s="975" t="s">
        <v>721</v>
      </c>
      <c r="N15" s="1039" t="s">
        <v>1508</v>
      </c>
      <c r="X15" s="973"/>
      <c r="AW15" s="1004" t="s">
        <v>184</v>
      </c>
      <c r="AX15" s="1004" t="s">
        <v>184</v>
      </c>
      <c r="AZ15" s="1004" t="s">
        <v>1428</v>
      </c>
      <c r="BB15" s="1004" t="s">
        <v>1509</v>
      </c>
      <c r="BC15" s="1004" t="s">
        <v>1493</v>
      </c>
      <c r="BE15" s="1004">
        <v>2013</v>
      </c>
      <c r="BH15" s="954" t="s">
        <v>1433</v>
      </c>
      <c r="BJ15" s="1100" t="s">
        <v>1510</v>
      </c>
      <c r="BL15" s="1100" t="s">
        <v>1510</v>
      </c>
      <c r="BN15" s="954" t="s">
        <v>1511</v>
      </c>
      <c r="BR15" s="956"/>
      <c r="BS15" s="1307"/>
      <c r="BT15" s="956"/>
      <c r="BU15" s="956"/>
      <c r="BV15" s="956"/>
      <c r="BW15" s="1557"/>
      <c r="BX15" s="1553"/>
    </row>
    <row r="16" spans="1:79" ht="21" customHeight="1">
      <c r="A16" s="1731" t="s">
        <v>1512</v>
      </c>
      <c r="B16" s="961">
        <v>2014</v>
      </c>
      <c r="E16" s="1562" t="s">
        <v>1513</v>
      </c>
      <c r="G16" s="962" t="s">
        <v>1514</v>
      </c>
      <c r="H16" s="962" t="s">
        <v>1515</v>
      </c>
      <c r="I16" s="964" t="s">
        <v>110</v>
      </c>
      <c r="J16" s="975" t="s">
        <v>694</v>
      </c>
      <c r="N16" s="1039" t="s">
        <v>1516</v>
      </c>
      <c r="AW16" s="1004" t="s">
        <v>105</v>
      </c>
      <c r="AX16" s="1004" t="s">
        <v>105</v>
      </c>
      <c r="AZ16" s="1004" t="s">
        <v>1444</v>
      </c>
      <c r="BB16" s="1004" t="s">
        <v>1517</v>
      </c>
      <c r="BC16" s="1004" t="s">
        <v>1493</v>
      </c>
      <c r="BE16" s="1004">
        <v>2014</v>
      </c>
      <c r="BH16" s="954" t="s">
        <v>1449</v>
      </c>
      <c r="BJ16" s="1100" t="s">
        <v>1518</v>
      </c>
      <c r="BL16" s="1100" t="s">
        <v>1518</v>
      </c>
      <c r="BN16" s="954" t="s">
        <v>1519</v>
      </c>
      <c r="BR16" s="956"/>
      <c r="BS16" s="1307"/>
      <c r="BT16" s="956"/>
      <c r="BU16" s="956"/>
      <c r="BV16" s="956"/>
      <c r="BW16" s="1557"/>
      <c r="BX16" s="1553"/>
    </row>
    <row r="17" spans="1:82" ht="21" customHeight="1">
      <c r="A17" s="960" t="s">
        <v>1520</v>
      </c>
      <c r="B17" s="961">
        <v>2015</v>
      </c>
      <c r="G17" s="962" t="s">
        <v>1468</v>
      </c>
      <c r="H17" s="962" t="s">
        <v>1468</v>
      </c>
      <c r="I17" s="962" t="s">
        <v>1521</v>
      </c>
      <c r="N17" s="1039" t="s">
        <v>1522</v>
      </c>
      <c r="X17" s="973"/>
      <c r="AW17" s="1004" t="s">
        <v>110</v>
      </c>
      <c r="AX17" s="1004" t="s">
        <v>110</v>
      </c>
      <c r="AZ17" s="1004" t="s">
        <v>1523</v>
      </c>
      <c r="BB17" s="1004" t="s">
        <v>1524</v>
      </c>
      <c r="BC17" s="1004" t="s">
        <v>1377</v>
      </c>
      <c r="BE17" s="1004">
        <v>2015</v>
      </c>
      <c r="BH17" s="954" t="s">
        <v>1464</v>
      </c>
      <c r="BJ17" s="1100" t="s">
        <v>1525</v>
      </c>
      <c r="BL17" s="1100" t="s">
        <v>1525</v>
      </c>
      <c r="BN17" s="954" t="s">
        <v>1526</v>
      </c>
      <c r="BR17" s="953" t="s">
        <v>1320</v>
      </c>
      <c r="BS17" s="1304"/>
      <c r="BU17" s="953" t="s">
        <v>1527</v>
      </c>
      <c r="BV17" s="956"/>
      <c r="BW17" s="1553"/>
      <c r="BX17" s="1555" t="s">
        <v>1528</v>
      </c>
      <c r="CA17" s="953" t="s">
        <v>1529</v>
      </c>
      <c r="CD17" s="953" t="s">
        <v>1530</v>
      </c>
    </row>
    <row r="18" spans="1:82" ht="21" customHeight="1">
      <c r="A18" s="960" t="s">
        <v>1531</v>
      </c>
      <c r="B18" s="961">
        <v>2016</v>
      </c>
      <c r="I18" s="962" t="s">
        <v>1532</v>
      </c>
      <c r="N18" s="1039" t="s">
        <v>1533</v>
      </c>
      <c r="X18" s="973"/>
      <c r="AW18" s="1004" t="s">
        <v>1521</v>
      </c>
      <c r="AX18" s="1004" t="s">
        <v>1521</v>
      </c>
      <c r="BB18" s="1004" t="s">
        <v>1534</v>
      </c>
      <c r="BC18" s="1004" t="s">
        <v>1377</v>
      </c>
      <c r="BE18" s="1004">
        <v>2016</v>
      </c>
      <c r="BH18" s="954" t="s">
        <v>1478</v>
      </c>
      <c r="BJ18" s="1100" t="s">
        <v>1535</v>
      </c>
      <c r="BL18" s="1100" t="s">
        <v>1535</v>
      </c>
      <c r="BN18" s="954" t="s">
        <v>1536</v>
      </c>
      <c r="BQ18" s="1308" t="s">
        <v>1350</v>
      </c>
      <c r="BR18" s="1040" t="s">
        <v>1351</v>
      </c>
      <c r="BS18" s="193"/>
      <c r="BT18" s="1308" t="s">
        <v>1537</v>
      </c>
      <c r="BU18" s="1040" t="s">
        <v>1538</v>
      </c>
      <c r="BV18" s="956"/>
      <c r="BW18" s="1560" t="s">
        <v>1539</v>
      </c>
      <c r="BX18" s="1554" t="s">
        <v>1540</v>
      </c>
      <c r="BZ18" s="1308" t="s">
        <v>1541</v>
      </c>
      <c r="CA18" s="1040" t="s">
        <v>1542</v>
      </c>
      <c r="CC18" s="1308" t="s">
        <v>1543</v>
      </c>
      <c r="CD18" s="1040" t="s">
        <v>1544</v>
      </c>
    </row>
    <row r="19" spans="1:82" ht="21" customHeight="1">
      <c r="A19" s="1731" t="s">
        <v>1545</v>
      </c>
      <c r="B19" s="961">
        <v>2017</v>
      </c>
      <c r="I19" s="962" t="s">
        <v>1546</v>
      </c>
      <c r="N19" s="1039" t="s">
        <v>1547</v>
      </c>
      <c r="X19" s="973"/>
      <c r="AW19" s="1004" t="s">
        <v>1532</v>
      </c>
      <c r="AX19" s="1004" t="s">
        <v>1532</v>
      </c>
      <c r="AZ19" s="953" t="s">
        <v>1548</v>
      </c>
      <c r="BB19" s="1004" t="s">
        <v>1549</v>
      </c>
      <c r="BC19" s="1004" t="s">
        <v>1377</v>
      </c>
      <c r="BE19" s="1004">
        <v>2017</v>
      </c>
      <c r="BH19" s="954" t="s">
        <v>1550</v>
      </c>
      <c r="BJ19" s="1100" t="s">
        <v>1551</v>
      </c>
      <c r="BL19" s="1100" t="s">
        <v>1551</v>
      </c>
      <c r="BQ19" s="1163">
        <v>4190064</v>
      </c>
      <c r="BR19" s="954" t="s">
        <v>1552</v>
      </c>
      <c r="BS19" s="1305"/>
      <c r="BT19" s="1163">
        <v>4189671</v>
      </c>
      <c r="BU19" s="954" t="s">
        <v>1553</v>
      </c>
      <c r="BV19" s="956"/>
      <c r="BW19" s="1558">
        <v>4189706</v>
      </c>
      <c r="BX19" s="1556" t="s">
        <v>1554</v>
      </c>
      <c r="BZ19" s="1163">
        <v>4189714</v>
      </c>
      <c r="CA19" s="954" t="s">
        <v>1555</v>
      </c>
      <c r="CC19" s="1163">
        <v>4189708</v>
      </c>
      <c r="CD19" s="954" t="s">
        <v>1556</v>
      </c>
    </row>
    <row r="20" spans="1:82" ht="21" customHeight="1">
      <c r="A20" s="960" t="s">
        <v>1557</v>
      </c>
      <c r="B20" s="961">
        <v>2018</v>
      </c>
      <c r="I20" s="962" t="s">
        <v>1558</v>
      </c>
      <c r="N20" s="1039" t="s">
        <v>1559</v>
      </c>
      <c r="AW20" s="1004" t="s">
        <v>1546</v>
      </c>
      <c r="AX20" s="1004" t="s">
        <v>1546</v>
      </c>
      <c r="AZ20" s="1004" t="s">
        <v>1560</v>
      </c>
      <c r="BB20" s="1004" t="s">
        <v>1561</v>
      </c>
      <c r="BC20" s="1004" t="s">
        <v>1493</v>
      </c>
      <c r="BE20" s="1004">
        <v>2018</v>
      </c>
      <c r="BH20" s="954" t="s">
        <v>1489</v>
      </c>
      <c r="BJ20" s="954" t="s">
        <v>1417</v>
      </c>
      <c r="BL20" s="954" t="s">
        <v>1417</v>
      </c>
      <c r="BQ20" s="1163">
        <v>4190065</v>
      </c>
      <c r="BR20" s="954" t="s">
        <v>1562</v>
      </c>
      <c r="BS20" s="1305"/>
      <c r="BT20" s="1163">
        <v>4189672</v>
      </c>
      <c r="BU20" s="954" t="s">
        <v>1563</v>
      </c>
      <c r="BV20" s="956"/>
      <c r="BW20" s="1558">
        <v>4189705</v>
      </c>
      <c r="BX20" s="1556" t="s">
        <v>1564</v>
      </c>
      <c r="BZ20" s="1163">
        <v>4189713</v>
      </c>
      <c r="CA20" s="954" t="s">
        <v>1564</v>
      </c>
      <c r="CC20" s="1163">
        <v>4189709</v>
      </c>
      <c r="CD20" s="954" t="s">
        <v>1565</v>
      </c>
    </row>
    <row r="21" spans="1:82" ht="21" customHeight="1">
      <c r="A21" s="960" t="s">
        <v>1566</v>
      </c>
      <c r="B21" s="961">
        <v>2019</v>
      </c>
      <c r="I21" s="962" t="s">
        <v>1567</v>
      </c>
      <c r="N21" s="1039" t="s">
        <v>1568</v>
      </c>
      <c r="AW21" s="1004" t="s">
        <v>1558</v>
      </c>
      <c r="AX21" s="1004" t="s">
        <v>1558</v>
      </c>
      <c r="AZ21" s="1004" t="s">
        <v>1569</v>
      </c>
      <c r="BB21" s="1004" t="s">
        <v>1570</v>
      </c>
      <c r="BC21" s="1004" t="s">
        <v>1377</v>
      </c>
      <c r="BE21" s="1004">
        <v>2019</v>
      </c>
      <c r="BH21" s="954" t="s">
        <v>1496</v>
      </c>
      <c r="BJ21" s="954" t="s">
        <v>1433</v>
      </c>
      <c r="BL21" s="954" t="s">
        <v>1433</v>
      </c>
      <c r="BQ21" s="1163">
        <v>4190066</v>
      </c>
      <c r="BR21" s="954" t="s">
        <v>1571</v>
      </c>
      <c r="BS21" s="1305"/>
      <c r="BT21" s="1163">
        <v>4189673</v>
      </c>
      <c r="BU21" s="954" t="s">
        <v>1572</v>
      </c>
      <c r="BV21" s="956"/>
      <c r="BW21" s="1558">
        <v>4189707</v>
      </c>
      <c r="BX21" s="1556" t="s">
        <v>1573</v>
      </c>
      <c r="BZ21" s="1163">
        <v>4189712</v>
      </c>
      <c r="CA21" s="954" t="s">
        <v>1574</v>
      </c>
      <c r="CC21" s="1163">
        <v>4189710</v>
      </c>
      <c r="CD21" s="954" t="s">
        <v>1575</v>
      </c>
    </row>
    <row r="22" spans="1:82" ht="21" customHeight="1">
      <c r="A22" s="960" t="s">
        <v>1576</v>
      </c>
      <c r="B22" s="961">
        <v>2020</v>
      </c>
      <c r="N22" s="1039" t="s">
        <v>1577</v>
      </c>
      <c r="AW22" s="1004" t="s">
        <v>1567</v>
      </c>
      <c r="AX22" s="1004" t="s">
        <v>1567</v>
      </c>
      <c r="AZ22" s="1004" t="s">
        <v>1578</v>
      </c>
      <c r="BB22" s="1004" t="s">
        <v>1579</v>
      </c>
      <c r="BC22" s="1004" t="s">
        <v>1377</v>
      </c>
      <c r="BE22" s="1004">
        <v>2020</v>
      </c>
      <c r="BH22" s="954" t="s">
        <v>1503</v>
      </c>
      <c r="BJ22" s="954" t="s">
        <v>1449</v>
      </c>
      <c r="BL22" s="954" t="s">
        <v>1449</v>
      </c>
      <c r="BQ22" s="1163">
        <v>4190067</v>
      </c>
      <c r="BR22" s="954" t="s">
        <v>1580</v>
      </c>
      <c r="BS22" s="1305"/>
      <c r="BT22" s="1163">
        <v>4189674</v>
      </c>
      <c r="BU22" s="954" t="s">
        <v>1581</v>
      </c>
      <c r="BV22" s="956"/>
      <c r="BW22" s="956"/>
      <c r="CC22" s="1163">
        <v>4189711</v>
      </c>
      <c r="CD22" s="954" t="s">
        <v>430</v>
      </c>
    </row>
    <row r="23" spans="1:82" ht="21" customHeight="1">
      <c r="A23" s="960" t="s">
        <v>1582</v>
      </c>
      <c r="B23" s="961">
        <v>2021</v>
      </c>
      <c r="AW23" s="1004" t="s">
        <v>1583</v>
      </c>
      <c r="AX23" s="1004" t="s">
        <v>1583</v>
      </c>
      <c r="AZ23" s="1004" t="s">
        <v>1584</v>
      </c>
      <c r="BB23" s="1004" t="s">
        <v>1585</v>
      </c>
      <c r="BC23" s="1004" t="s">
        <v>1287</v>
      </c>
      <c r="BE23" s="1004">
        <v>2021</v>
      </c>
      <c r="BH23" s="954" t="s">
        <v>1511</v>
      </c>
      <c r="BJ23" s="954" t="s">
        <v>1464</v>
      </c>
      <c r="BL23" s="954" t="s">
        <v>1464</v>
      </c>
      <c r="BQ23" s="1163">
        <v>4190068</v>
      </c>
      <c r="BR23" s="954" t="s">
        <v>1586</v>
      </c>
      <c r="BS23" s="1305"/>
      <c r="BT23" s="1163">
        <v>4189675</v>
      </c>
      <c r="BU23" s="954" t="s">
        <v>1587</v>
      </c>
      <c r="BV23" s="956"/>
      <c r="BW23" s="956"/>
      <c r="CC23" s="1163">
        <v>5110778</v>
      </c>
      <c r="CD23" s="954" t="s">
        <v>1588</v>
      </c>
    </row>
    <row r="24" spans="1:82" ht="21" customHeight="1">
      <c r="A24" s="960" t="s">
        <v>1589</v>
      </c>
      <c r="B24" s="961">
        <v>2022</v>
      </c>
      <c r="AW24" s="1004" t="s">
        <v>1590</v>
      </c>
      <c r="AX24" s="1004" t="s">
        <v>1590</v>
      </c>
      <c r="AZ24" s="1004" t="s">
        <v>1591</v>
      </c>
      <c r="BB24" s="1004" t="s">
        <v>1592</v>
      </c>
      <c r="BC24" s="1004" t="s">
        <v>1593</v>
      </c>
      <c r="BE24" s="1004">
        <v>2022</v>
      </c>
      <c r="BH24" s="954" t="s">
        <v>1519</v>
      </c>
      <c r="BJ24" s="954" t="s">
        <v>1478</v>
      </c>
      <c r="BL24" s="954" t="s">
        <v>1478</v>
      </c>
      <c r="BQ24" s="1163">
        <v>4190069</v>
      </c>
      <c r="BR24" s="954" t="s">
        <v>1594</v>
      </c>
      <c r="BS24" s="1305"/>
      <c r="BT24" s="1163">
        <v>4189676</v>
      </c>
      <c r="BU24" s="954" t="s">
        <v>1595</v>
      </c>
      <c r="BV24" s="956"/>
      <c r="BW24" s="956"/>
      <c r="CC24" s="1163">
        <v>25575374</v>
      </c>
      <c r="CD24" s="954" t="s">
        <v>1596</v>
      </c>
    </row>
    <row r="25" spans="1:82" ht="11.25" customHeight="1">
      <c r="A25" s="960" t="s">
        <v>1597</v>
      </c>
      <c r="B25" s="961">
        <v>2023</v>
      </c>
      <c r="AW25" s="1004" t="s">
        <v>114</v>
      </c>
      <c r="AX25" s="1004" t="s">
        <v>114</v>
      </c>
      <c r="AZ25" s="1004" t="s">
        <v>1598</v>
      </c>
      <c r="BB25" s="1004" t="s">
        <v>1599</v>
      </c>
      <c r="BC25" s="1004" t="s">
        <v>1593</v>
      </c>
      <c r="BE25" s="1004">
        <v>2023</v>
      </c>
      <c r="BH25" s="954" t="s">
        <v>1526</v>
      </c>
      <c r="BJ25" s="954" t="s">
        <v>1550</v>
      </c>
      <c r="BL25" s="954" t="s">
        <v>1550</v>
      </c>
      <c r="BQ25" s="1163">
        <v>4190070</v>
      </c>
      <c r="BR25" s="954" t="s">
        <v>1600</v>
      </c>
      <c r="BS25" s="1305"/>
      <c r="BT25" s="1163">
        <v>4189677</v>
      </c>
      <c r="BU25" s="954" t="s">
        <v>1601</v>
      </c>
      <c r="BV25" s="956"/>
      <c r="BW25" s="956"/>
    </row>
    <row r="26" spans="1:82" ht="11.25" customHeight="1">
      <c r="A26" s="960" t="s">
        <v>1602</v>
      </c>
      <c r="B26" s="961">
        <v>2024</v>
      </c>
      <c r="J26" s="1593" t="s">
        <v>1603</v>
      </c>
      <c r="AX26" s="1004" t="s">
        <v>1604</v>
      </c>
      <c r="AZ26" s="1004" t="s">
        <v>1471</v>
      </c>
      <c r="BB26" s="1004" t="s">
        <v>1605</v>
      </c>
      <c r="BC26" s="1004" t="s">
        <v>1593</v>
      </c>
      <c r="BE26" s="1004">
        <v>2024</v>
      </c>
      <c r="BH26" s="954" t="s">
        <v>1536</v>
      </c>
      <c r="BJ26" s="954" t="s">
        <v>1489</v>
      </c>
      <c r="BL26" s="954" t="s">
        <v>1489</v>
      </c>
      <c r="BQ26" s="1163">
        <v>4190071</v>
      </c>
      <c r="BR26" s="954" t="s">
        <v>1606</v>
      </c>
      <c r="BS26" s="1305"/>
      <c r="BV26" s="956"/>
      <c r="BW26" s="956"/>
    </row>
    <row r="27" spans="1:82" ht="11.25" customHeight="1">
      <c r="A27" s="960" t="s">
        <v>1607</v>
      </c>
      <c r="B27" s="961">
        <v>2025</v>
      </c>
      <c r="J27" s="99" t="s">
        <v>103</v>
      </c>
      <c r="AX27" s="1004" t="s">
        <v>1608</v>
      </c>
      <c r="BB27" s="1004" t="s">
        <v>1609</v>
      </c>
      <c r="BC27" s="1004" t="s">
        <v>1593</v>
      </c>
      <c r="BE27" s="1004">
        <v>2025</v>
      </c>
      <c r="BH27" s="956" t="s">
        <v>24</v>
      </c>
      <c r="BJ27" s="954" t="s">
        <v>1496</v>
      </c>
      <c r="BL27" s="954" t="s">
        <v>1496</v>
      </c>
      <c r="BN27" s="956" t="s">
        <v>24</v>
      </c>
      <c r="BQ27" s="1163">
        <v>4190072</v>
      </c>
      <c r="BR27" s="954" t="s">
        <v>1610</v>
      </c>
      <c r="BS27" s="1305"/>
      <c r="BV27" s="956"/>
      <c r="BW27" s="956"/>
    </row>
    <row r="28" spans="1:82" ht="11.25" customHeight="1">
      <c r="A28" s="960" t="s">
        <v>1611</v>
      </c>
      <c r="D28" s="985"/>
      <c r="E28" s="986"/>
      <c r="F28" s="986"/>
      <c r="H28" s="987" t="s">
        <v>1612</v>
      </c>
      <c r="AX28" s="1004" t="s">
        <v>119</v>
      </c>
      <c r="AZ28" s="953" t="s">
        <v>1613</v>
      </c>
      <c r="BB28" s="1004" t="s">
        <v>1614</v>
      </c>
      <c r="BC28" s="1004" t="s">
        <v>1615</v>
      </c>
      <c r="BE28" s="1004">
        <v>2026</v>
      </c>
      <c r="BH28" s="956" t="s">
        <v>24</v>
      </c>
      <c r="BJ28" s="954" t="s">
        <v>1503</v>
      </c>
      <c r="BL28" s="954" t="s">
        <v>1503</v>
      </c>
      <c r="BN28" s="956" t="s">
        <v>24</v>
      </c>
      <c r="BQ28" s="1163">
        <v>4190073</v>
      </c>
      <c r="BR28" s="954" t="s">
        <v>1616</v>
      </c>
      <c r="BS28" s="1305"/>
      <c r="BV28" s="956"/>
      <c r="BW28" s="956"/>
    </row>
    <row r="29" spans="1:82" ht="11.25" customHeight="1">
      <c r="A29" s="960" t="s">
        <v>1617</v>
      </c>
      <c r="D29" s="988" t="s">
        <v>1618</v>
      </c>
      <c r="E29" s="989">
        <f>IF(TEMPLATE_GROUP="","",INDEX(StartDateList,MATCH(TEMPLATE_GROUP,CodeTemplateList,0),1))</f>
        <v>45292</v>
      </c>
      <c r="F29" s="989">
        <f>IF(TEMPLATE_GROUP="","",INDEX(EndDateList,MATCH(TEMPLATE_GROUP,CodeTemplateList,0),1))</f>
        <v>47118</v>
      </c>
      <c r="H29" s="990" t="s">
        <v>1619</v>
      </c>
      <c r="AX29" s="1004" t="s">
        <v>1620</v>
      </c>
      <c r="AZ29" s="1004" t="s">
        <v>1271</v>
      </c>
      <c r="BB29" s="1004" t="s">
        <v>1471</v>
      </c>
      <c r="BC29" s="976"/>
      <c r="BE29" s="1004">
        <v>2027</v>
      </c>
      <c r="BJ29" s="954" t="s">
        <v>1511</v>
      </c>
      <c r="BL29" s="954" t="s">
        <v>1511</v>
      </c>
    </row>
    <row r="30" spans="1:82" ht="11.25" customHeight="1">
      <c r="A30" s="960" t="s">
        <v>1621</v>
      </c>
      <c r="D30" s="991"/>
      <c r="E30" s="992"/>
      <c r="F30" s="992"/>
      <c r="AX30" s="1004" t="s">
        <v>1622</v>
      </c>
      <c r="AZ30" s="1004" t="s">
        <v>1298</v>
      </c>
      <c r="BE30" s="1004">
        <v>2028</v>
      </c>
      <c r="BJ30" s="954" t="s">
        <v>1623</v>
      </c>
      <c r="BL30" s="954" t="s">
        <v>1623</v>
      </c>
    </row>
    <row r="31" spans="1:82" ht="12.75" customHeight="1">
      <c r="A31" s="960" t="s">
        <v>1624</v>
      </c>
      <c r="D31" s="985"/>
      <c r="E31" s="986"/>
      <c r="F31" s="986"/>
      <c r="H31" s="993"/>
      <c r="AX31" s="1004" t="s">
        <v>1625</v>
      </c>
      <c r="AZ31" s="1004" t="s">
        <v>678</v>
      </c>
      <c r="BE31" s="1004">
        <v>2029</v>
      </c>
      <c r="BJ31" s="954" t="s">
        <v>1626</v>
      </c>
      <c r="BL31" s="954" t="s">
        <v>1626</v>
      </c>
    </row>
    <row r="32" spans="1:82" ht="11.25" customHeight="1">
      <c r="A32" s="960" t="s">
        <v>1627</v>
      </c>
      <c r="D32" s="988" t="s">
        <v>1628</v>
      </c>
      <c r="E32" s="989">
        <f>IF(TEMPLATE_GROUP="","",INDEX(StartDateList,MATCH(TEMPLATE_GROUP,CodeTemplateList,0),1))</f>
        <v>45292</v>
      </c>
      <c r="F32" s="989">
        <f>IF(TEMPLATE_GROUP="","",INDEX(EndDateList,MATCH(TEMPLATE_GROUP,CodeTemplateList,0),1))</f>
        <v>47118</v>
      </c>
      <c r="H32" s="994" t="s">
        <v>1629</v>
      </c>
      <c r="O32" s="960" t="s">
        <v>1268</v>
      </c>
      <c r="AX32" s="1004" t="s">
        <v>1630</v>
      </c>
      <c r="AZ32" s="1004" t="s">
        <v>679</v>
      </c>
      <c r="BE32" s="1004">
        <v>2030</v>
      </c>
      <c r="BJ32" s="954" t="s">
        <v>1519</v>
      </c>
      <c r="BL32" s="954" t="s">
        <v>1519</v>
      </c>
    </row>
    <row r="33" spans="1:66" ht="11.25" customHeight="1">
      <c r="A33" s="960" t="s">
        <v>1631</v>
      </c>
      <c r="O33" s="960" t="s">
        <v>1296</v>
      </c>
      <c r="AX33" s="1004" t="s">
        <v>1632</v>
      </c>
      <c r="AZ33" s="1004" t="s">
        <v>1270</v>
      </c>
      <c r="BE33" s="1004">
        <v>2031</v>
      </c>
      <c r="BJ33" s="954" t="s">
        <v>1526</v>
      </c>
      <c r="BL33" s="954" t="s">
        <v>1526</v>
      </c>
    </row>
    <row r="34" spans="1:66" ht="11.25" customHeight="1">
      <c r="A34" s="960" t="s">
        <v>1633</v>
      </c>
      <c r="O34" s="960" t="s">
        <v>1331</v>
      </c>
      <c r="AX34" s="1004" t="s">
        <v>1634</v>
      </c>
      <c r="BE34" s="1004">
        <v>2032</v>
      </c>
      <c r="BJ34" s="954" t="s">
        <v>1536</v>
      </c>
      <c r="BL34" s="954" t="s">
        <v>1536</v>
      </c>
    </row>
    <row r="35" spans="1:66" ht="11.25" customHeight="1">
      <c r="A35" s="960" t="s">
        <v>1635</v>
      </c>
      <c r="O35" s="960" t="s">
        <v>1364</v>
      </c>
      <c r="AX35" s="1004" t="s">
        <v>1636</v>
      </c>
      <c r="AZ35" s="953" t="s">
        <v>1637</v>
      </c>
      <c r="BE35" s="1004">
        <v>2033</v>
      </c>
      <c r="BL35" s="954" t="s">
        <v>1638</v>
      </c>
    </row>
    <row r="36" spans="1:66" ht="11.25" customHeight="1">
      <c r="A36" s="1731" t="s">
        <v>1639</v>
      </c>
      <c r="D36" s="995" t="s">
        <v>1640</v>
      </c>
      <c r="E36" s="996" t="s">
        <v>947</v>
      </c>
      <c r="F36" s="997" t="str">
        <f>INDEX(E37:E41,MATCH(TEMPLATE_SPHERE,F37:F41,0))</f>
        <v>горячего водоснабжения</v>
      </c>
      <c r="G36" s="997" t="str">
        <f>INDEX(G37:G41,MATCH(TEMPLATE_SPHERE,F37:F41,0))</f>
        <v>горячее водоснабжение</v>
      </c>
      <c r="O36" s="960" t="s">
        <v>1388</v>
      </c>
      <c r="AX36" s="1004" t="s">
        <v>124</v>
      </c>
      <c r="AZ36" s="1004" t="s">
        <v>1270</v>
      </c>
      <c r="BE36" s="1004">
        <v>2034</v>
      </c>
      <c r="BL36" s="954" t="s">
        <v>1641</v>
      </c>
    </row>
    <row r="37" spans="1:66" ht="11.25" customHeight="1">
      <c r="A37" s="960" t="s">
        <v>1642</v>
      </c>
      <c r="E37" s="322" t="s">
        <v>1643</v>
      </c>
      <c r="F37" s="998" t="s">
        <v>860</v>
      </c>
      <c r="G37" s="322" t="s">
        <v>1644</v>
      </c>
      <c r="O37" s="960" t="s">
        <v>1407</v>
      </c>
      <c r="AX37" s="1004" t="s">
        <v>1645</v>
      </c>
      <c r="AZ37" s="1004" t="s">
        <v>1297</v>
      </c>
      <c r="BE37" s="1004">
        <v>2035</v>
      </c>
    </row>
    <row r="38" spans="1:66" ht="11.25" customHeight="1">
      <c r="A38" s="960" t="s">
        <v>1646</v>
      </c>
      <c r="E38" s="322" t="s">
        <v>1647</v>
      </c>
      <c r="F38" s="999" t="s">
        <v>906</v>
      </c>
      <c r="G38" s="322" t="s">
        <v>1648</v>
      </c>
      <c r="O38" s="960" t="s">
        <v>1424</v>
      </c>
      <c r="AX38" s="1004" t="s">
        <v>98</v>
      </c>
      <c r="AZ38" s="1004" t="s">
        <v>1332</v>
      </c>
      <c r="BE38" s="1004">
        <v>2036</v>
      </c>
      <c r="BH38" s="953" t="s">
        <v>1649</v>
      </c>
      <c r="BJ38" s="953" t="s">
        <v>1650</v>
      </c>
      <c r="BL38" s="953" t="s">
        <v>1651</v>
      </c>
      <c r="BN38" s="953" t="s">
        <v>1652</v>
      </c>
    </row>
    <row r="39" spans="1:66" ht="11.25" customHeight="1">
      <c r="A39" s="960" t="s">
        <v>14</v>
      </c>
      <c r="E39" s="322" t="s">
        <v>1653</v>
      </c>
      <c r="F39" s="999" t="s">
        <v>961</v>
      </c>
      <c r="G39" s="322" t="s">
        <v>1654</v>
      </c>
      <c r="O39" s="960" t="s">
        <v>1440</v>
      </c>
      <c r="AX39" s="1004" t="s">
        <v>1655</v>
      </c>
      <c r="AZ39" s="1004" t="s">
        <v>1365</v>
      </c>
      <c r="BE39" s="1004">
        <v>2037</v>
      </c>
      <c r="BH39" s="954" t="s">
        <v>1656</v>
      </c>
      <c r="BJ39" s="1100" t="s">
        <v>1656</v>
      </c>
      <c r="BL39" s="1100" t="s">
        <v>1656</v>
      </c>
      <c r="BN39" s="954" t="s">
        <v>1657</v>
      </c>
    </row>
    <row r="40" spans="1:66" ht="11.25" customHeight="1">
      <c r="A40" s="960" t="s">
        <v>1658</v>
      </c>
      <c r="E40" s="322" t="s">
        <v>1659</v>
      </c>
      <c r="F40" s="999" t="s">
        <v>947</v>
      </c>
      <c r="G40" s="322" t="s">
        <v>1660</v>
      </c>
      <c r="O40" s="960" t="s">
        <v>1456</v>
      </c>
      <c r="AX40" s="1004" t="s">
        <v>1661</v>
      </c>
      <c r="BE40" s="1004">
        <v>2038</v>
      </c>
      <c r="BH40" s="954" t="s">
        <v>1662</v>
      </c>
      <c r="BJ40" s="1100" t="s">
        <v>1082</v>
      </c>
      <c r="BL40" s="1100" t="s">
        <v>1082</v>
      </c>
      <c r="BN40" s="954" t="s">
        <v>1116</v>
      </c>
    </row>
    <row r="41" spans="1:66" ht="11.25" customHeight="1">
      <c r="A41" s="960" t="s">
        <v>1663</v>
      </c>
      <c r="E41" s="322" t="s">
        <v>1664</v>
      </c>
      <c r="F41" s="999" t="s">
        <v>1665</v>
      </c>
      <c r="G41" s="322" t="s">
        <v>1664</v>
      </c>
      <c r="O41" s="960" t="s">
        <v>1471</v>
      </c>
      <c r="AX41" s="1004" t="s">
        <v>1666</v>
      </c>
      <c r="AZ41" s="953" t="s">
        <v>1667</v>
      </c>
      <c r="BE41" s="1004">
        <v>2039</v>
      </c>
      <c r="BH41" s="954" t="s">
        <v>1668</v>
      </c>
      <c r="BJ41" s="1100" t="s">
        <v>1078</v>
      </c>
      <c r="BL41" s="1100" t="s">
        <v>1078</v>
      </c>
      <c r="BN41" s="954" t="s">
        <v>1103</v>
      </c>
    </row>
    <row r="42" spans="1:66" ht="11.25" customHeight="1">
      <c r="A42" s="960" t="s">
        <v>1669</v>
      </c>
      <c r="AX42" s="1004" t="s">
        <v>1670</v>
      </c>
      <c r="AZ42" s="1004" t="s">
        <v>1268</v>
      </c>
      <c r="BE42" s="1004">
        <v>2040</v>
      </c>
      <c r="BH42" s="954" t="s">
        <v>1100</v>
      </c>
      <c r="BJ42" s="1100" t="s">
        <v>1080</v>
      </c>
      <c r="BL42" s="1100" t="s">
        <v>1080</v>
      </c>
      <c r="BN42" s="954" t="s">
        <v>1671</v>
      </c>
    </row>
    <row r="43" spans="1:66" ht="11.25" customHeight="1">
      <c r="A43" s="960" t="s">
        <v>1672</v>
      </c>
      <c r="AX43" s="1004" t="s">
        <v>1673</v>
      </c>
      <c r="AZ43" s="1004" t="s">
        <v>1296</v>
      </c>
      <c r="BE43" s="1004">
        <v>2041</v>
      </c>
      <c r="BH43" s="954" t="s">
        <v>1674</v>
      </c>
      <c r="BJ43" s="1100" t="s">
        <v>1668</v>
      </c>
      <c r="BL43" s="1100" t="s">
        <v>1668</v>
      </c>
      <c r="BN43" s="954" t="s">
        <v>1675</v>
      </c>
    </row>
    <row r="44" spans="1:66" ht="11.25" customHeight="1">
      <c r="A44" s="960" t="s">
        <v>1676</v>
      </c>
      <c r="I44" s="697" t="s">
        <v>1677</v>
      </c>
      <c r="J44" s="975" t="s">
        <v>1678</v>
      </c>
      <c r="K44" s="975" t="s">
        <v>1679</v>
      </c>
      <c r="AX44" s="1004" t="s">
        <v>1680</v>
      </c>
      <c r="AZ44" s="1004" t="s">
        <v>1331</v>
      </c>
      <c r="BE44" s="1004">
        <v>2042</v>
      </c>
      <c r="BH44" s="954" t="s">
        <v>1681</v>
      </c>
      <c r="BJ44" s="1100" t="s">
        <v>1100</v>
      </c>
      <c r="BL44" s="1100" t="s">
        <v>1100</v>
      </c>
      <c r="BN44" s="954" t="s">
        <v>1682</v>
      </c>
    </row>
    <row r="45" spans="1:66" ht="11.25" customHeight="1">
      <c r="A45" s="960" t="s">
        <v>1683</v>
      </c>
      <c r="D45" s="995" t="s">
        <v>1684</v>
      </c>
      <c r="E45" s="996" t="s">
        <v>1685</v>
      </c>
      <c r="F45" s="695" t="s">
        <v>1686</v>
      </c>
      <c r="G45" s="694" t="s">
        <v>1687</v>
      </c>
      <c r="H45" s="697" t="s">
        <v>1688</v>
      </c>
      <c r="I45" s="1603" t="b">
        <f>INDEX(PeriodIsEmptyList,MATCH(TEMPLATE_GROUP,CodeTemplateList,0),1)</f>
        <v>0</v>
      </c>
      <c r="J45" s="1606" t="str">
        <f>INDEX(NameTemplatesInTitleList,MATCH(TEMPLATE_GROUP,CodeTemplateList,0),1)</f>
        <v>Показатели, подлежащие раскрытию в сфере горячего водоснабжения (цены и тарифы)</v>
      </c>
      <c r="K45" s="160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1689</v>
      </c>
      <c r="AZ45" s="1004" t="s">
        <v>1364</v>
      </c>
      <c r="BE45" s="1004">
        <v>2043</v>
      </c>
      <c r="BH45" s="954" t="s">
        <v>1690</v>
      </c>
      <c r="BJ45" s="1100" t="s">
        <v>1094</v>
      </c>
      <c r="BL45" s="1100" t="s">
        <v>1094</v>
      </c>
      <c r="BN45" s="954" t="s">
        <v>1691</v>
      </c>
    </row>
    <row r="46" spans="1:66" ht="11.25" customHeight="1">
      <c r="A46" s="960" t="s">
        <v>1692</v>
      </c>
      <c r="E46" s="322" t="s">
        <v>22</v>
      </c>
      <c r="F46" s="998" t="s">
        <v>1693</v>
      </c>
      <c r="G46" s="1000"/>
      <c r="H46" s="1000"/>
      <c r="I46" s="1604" t="b">
        <f>IF(TITLE_DATE_FIL="",TRUE,FALSE)</f>
        <v>1</v>
      </c>
      <c r="J46" s="1607" t="str">
        <f>"Общая информация о регулируемой организации ("&amp;TEMPLATE_SPHERE_RUS&amp;")"</f>
        <v>Общая информация о регулируемой организации (горячего водоснабжения)</v>
      </c>
      <c r="K46" s="1608"/>
      <c r="AX46" s="1004" t="s">
        <v>1694</v>
      </c>
      <c r="AZ46" s="1004" t="s">
        <v>1388</v>
      </c>
      <c r="BE46" s="1004">
        <v>2044</v>
      </c>
      <c r="BH46" s="954" t="s">
        <v>1103</v>
      </c>
      <c r="BJ46" s="1100" t="s">
        <v>1084</v>
      </c>
      <c r="BL46" s="1100" t="s">
        <v>1084</v>
      </c>
      <c r="BN46" s="954" t="s">
        <v>1695</v>
      </c>
    </row>
    <row r="47" spans="1:66" ht="11.25" customHeight="1">
      <c r="A47" s="960" t="s">
        <v>1696</v>
      </c>
      <c r="E47" s="322" t="s">
        <v>29</v>
      </c>
      <c r="F47" s="999" t="s">
        <v>1697</v>
      </c>
      <c r="G47" s="1001" t="str">
        <f>IF(f_year="","",IF(LEN(f_quart)=0,"",IF(f_quart="I квартал","01.01."&amp;f_year,IF(f_quart="II квартал","01.04."&amp;f_year,(IF(f_quart="III квартал","01.07."&amp;f_year,"01.10."&amp;f_year))))))</f>
        <v/>
      </c>
      <c r="H47" s="1001" t="str">
        <f>IF(f_year="","",IF(LEN(f_quart)=0,"",IF(f_quart="I квартал","31.03."&amp;f_year,IF(f_quart="II квартал","30.06."&amp;f_year,(IF(f_quart="III квартал","30.09."&amp;f_year,"31.12."&amp;f_year))))))</f>
        <v/>
      </c>
      <c r="I47" s="1605" t="b">
        <f>IF(OR(f_year="",f_quart=""),TRUE,FALSE)</f>
        <v>1</v>
      </c>
      <c r="J47" s="160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08"/>
      <c r="AX47" s="1004" t="s">
        <v>1698</v>
      </c>
      <c r="AZ47" s="1004" t="s">
        <v>1407</v>
      </c>
      <c r="BE47" s="1004">
        <v>2045</v>
      </c>
      <c r="BH47" s="954" t="s">
        <v>1671</v>
      </c>
      <c r="BJ47" s="1100" t="s">
        <v>1086</v>
      </c>
      <c r="BL47" s="1100" t="s">
        <v>1086</v>
      </c>
      <c r="BN47" s="954" t="s">
        <v>1699</v>
      </c>
    </row>
    <row r="48" spans="1:66" ht="11.25" customHeight="1">
      <c r="A48" s="960" t="s">
        <v>1700</v>
      </c>
      <c r="E48" s="322" t="s">
        <v>1701</v>
      </c>
      <c r="F48" s="999" t="s">
        <v>1702</v>
      </c>
      <c r="G48" s="1001" t="str">
        <f>IF(f_year="","","01.01."&amp;f_year)</f>
        <v/>
      </c>
      <c r="H48" s="1001" t="str">
        <f>IF(f_year="","","31.12."&amp;f_year)</f>
        <v/>
      </c>
      <c r="I48" s="1604" t="b">
        <f>IF(f_year="",TRUE,FALSE)</f>
        <v>1</v>
      </c>
      <c r="J48" s="1607" t="s">
        <v>1703</v>
      </c>
      <c r="K48" s="1608"/>
      <c r="AX48" s="1004" t="s">
        <v>1704</v>
      </c>
      <c r="AZ48" s="1004" t="s">
        <v>1424</v>
      </c>
      <c r="BE48" s="1004">
        <v>2046</v>
      </c>
      <c r="BH48" s="954" t="s">
        <v>1675</v>
      </c>
      <c r="BJ48" s="1100" t="s">
        <v>1088</v>
      </c>
      <c r="BL48" s="1100" t="s">
        <v>1088</v>
      </c>
      <c r="BN48" s="954" t="s">
        <v>1705</v>
      </c>
    </row>
    <row r="49" spans="1:64" ht="11.25" customHeight="1">
      <c r="A49" s="960" t="s">
        <v>1706</v>
      </c>
      <c r="E49" s="322" t="s">
        <v>1707</v>
      </c>
      <c r="F49" s="999" t="s">
        <v>1708</v>
      </c>
      <c r="G49" s="1001" t="str">
        <f>IF(f_year="","","01.01."&amp;f_year)</f>
        <v/>
      </c>
      <c r="H49" s="1001" t="str">
        <f>IF(f_year="","","31.12."&amp;f_year)</f>
        <v/>
      </c>
      <c r="I49" s="1604" t="b">
        <f>IF(f_year="",TRUE,FALSE)</f>
        <v>1</v>
      </c>
      <c r="J49" s="160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08"/>
      <c r="AX49" s="1004" t="s">
        <v>1709</v>
      </c>
      <c r="AZ49" s="1004" t="s">
        <v>1440</v>
      </c>
      <c r="BE49" s="1004">
        <v>2047</v>
      </c>
      <c r="BH49" s="954" t="s">
        <v>1104</v>
      </c>
      <c r="BJ49" s="1100" t="s">
        <v>1090</v>
      </c>
      <c r="BL49" s="1100" t="s">
        <v>1090</v>
      </c>
    </row>
    <row r="50" spans="1:64" ht="11.25" customHeight="1">
      <c r="A50" s="960" t="s">
        <v>1710</v>
      </c>
      <c r="E50" s="322" t="s">
        <v>1711</v>
      </c>
      <c r="F50" s="999" t="s">
        <v>1074</v>
      </c>
      <c r="G50" s="1001" t="str">
        <f>IF(f_year="","","01.01."&amp;f_year)</f>
        <v/>
      </c>
      <c r="H50" s="1001" t="str">
        <f>IF(f_year="","","31.12."&amp;f_year)</f>
        <v/>
      </c>
      <c r="I50" s="1604" t="b">
        <f>IF(f_year="",TRUE,FALSE)</f>
        <v>1</v>
      </c>
      <c r="J50" s="160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08"/>
      <c r="AX50" s="1004" t="s">
        <v>1712</v>
      </c>
      <c r="AZ50" s="1004" t="s">
        <v>1456</v>
      </c>
      <c r="BE50" s="1004">
        <v>2048</v>
      </c>
      <c r="BH50" s="954" t="s">
        <v>1682</v>
      </c>
      <c r="BJ50" s="1100" t="s">
        <v>1092</v>
      </c>
      <c r="BL50" s="1100" t="s">
        <v>1092</v>
      </c>
    </row>
    <row r="51" spans="1:64" ht="11.25" customHeight="1">
      <c r="A51" s="960" t="s">
        <v>1713</v>
      </c>
      <c r="E51" s="322" t="s">
        <v>1714</v>
      </c>
      <c r="F51" s="999" t="s">
        <v>1715</v>
      </c>
      <c r="G51" s="1001">
        <f>IF(TITLE_PERIOD_START="","",TITLE_PERIOD_START)</f>
        <v>45292</v>
      </c>
      <c r="H51" s="1001">
        <f>IF(TITLE_PERIOD_END="","",TITLE_PERIOD_END)</f>
        <v>47118</v>
      </c>
      <c r="I51" s="1605" t="b">
        <f>IF(OR(TITLE_PERIOD_START="",TITLE_PERIOD_END=""),TRUE,FALSE)</f>
        <v>0</v>
      </c>
      <c r="J51" s="160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8"/>
      <c r="AX51" s="1004" t="s">
        <v>1716</v>
      </c>
      <c r="AZ51" s="1004" t="s">
        <v>1471</v>
      </c>
      <c r="BE51" s="1004">
        <v>2049</v>
      </c>
      <c r="BH51" s="954" t="s">
        <v>1691</v>
      </c>
      <c r="BJ51" s="1100" t="s">
        <v>1717</v>
      </c>
      <c r="BL51" s="1100" t="s">
        <v>1717</v>
      </c>
    </row>
    <row r="52" spans="1:64" ht="11.25" customHeight="1">
      <c r="A52" s="960" t="s">
        <v>1718</v>
      </c>
      <c r="E52" s="322" t="s">
        <v>1719</v>
      </c>
      <c r="F52" s="999" t="s">
        <v>1685</v>
      </c>
      <c r="G52" s="1001">
        <f>IF(TITLE_PERIOD_START="","",TITLE_PERIOD_START)</f>
        <v>45292</v>
      </c>
      <c r="H52" s="1001">
        <f>IF(TITLE_PERIOD_END="","",TITLE_PERIOD_END)</f>
        <v>47118</v>
      </c>
      <c r="I52" s="1605" t="b">
        <f>IF(OR(TITLE_PERIOD_START="",TITLE_PERIOD_END=""),TRUE,FALSE)</f>
        <v>0</v>
      </c>
      <c r="J52" s="160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08"/>
      <c r="AX52" s="1004" t="s">
        <v>1720</v>
      </c>
      <c r="AZ52" s="1004" t="s">
        <v>1270</v>
      </c>
      <c r="BE52" s="1004">
        <v>2050</v>
      </c>
      <c r="BH52" s="954" t="s">
        <v>1695</v>
      </c>
      <c r="BJ52" s="1100" t="s">
        <v>1103</v>
      </c>
      <c r="BL52" s="1100" t="s">
        <v>1103</v>
      </c>
    </row>
    <row r="53" spans="1:64" ht="11.25" customHeight="1">
      <c r="A53" s="960" t="s">
        <v>1721</v>
      </c>
      <c r="E53" s="322" t="s">
        <v>1722</v>
      </c>
      <c r="F53" s="999" t="s">
        <v>1722</v>
      </c>
      <c r="G53" s="1001" t="str">
        <f>IF(f_year="","","01.01."&amp;f_year)</f>
        <v/>
      </c>
      <c r="H53" s="1001" t="str">
        <f>IF(f_year="","","31.12."&amp;f_year)</f>
        <v/>
      </c>
      <c r="I53" s="1604" t="b">
        <f>IF(AND(f_year="",TITLE_DATE_FIL=""),TRUE,FALSE)</f>
        <v>1</v>
      </c>
      <c r="J53" s="1607" t="s">
        <v>1723</v>
      </c>
      <c r="K53" s="1608"/>
      <c r="AX53" s="1004" t="s">
        <v>1724</v>
      </c>
      <c r="BE53" s="1004">
        <v>2051</v>
      </c>
      <c r="BH53" s="954" t="s">
        <v>1699</v>
      </c>
      <c r="BJ53" s="1100" t="s">
        <v>1671</v>
      </c>
      <c r="BL53" s="1100" t="s">
        <v>1671</v>
      </c>
    </row>
    <row r="54" spans="1:64" ht="11.25" customHeight="1">
      <c r="A54" s="960" t="s">
        <v>1725</v>
      </c>
      <c r="AX54" s="1004" t="s">
        <v>1726</v>
      </c>
      <c r="AZ54" s="953" t="s">
        <v>1727</v>
      </c>
      <c r="BE54" s="1004">
        <v>2052</v>
      </c>
      <c r="BH54" s="954" t="s">
        <v>1705</v>
      </c>
      <c r="BJ54" s="1100" t="s">
        <v>1675</v>
      </c>
      <c r="BL54" s="1100" t="s">
        <v>1675</v>
      </c>
    </row>
    <row r="55" spans="1:64" ht="11.25" customHeight="1">
      <c r="A55" s="960" t="s">
        <v>1728</v>
      </c>
      <c r="AX55" s="1004" t="s">
        <v>1729</v>
      </c>
      <c r="AZ55" s="1004" t="s">
        <v>1272</v>
      </c>
      <c r="BE55" s="1004">
        <v>2053</v>
      </c>
      <c r="BH55" s="956" t="s">
        <v>24</v>
      </c>
      <c r="BJ55" s="1100" t="s">
        <v>1104</v>
      </c>
      <c r="BL55" s="1100" t="s">
        <v>1104</v>
      </c>
    </row>
    <row r="56" spans="1:64" ht="11.25" customHeight="1">
      <c r="A56" s="960" t="s">
        <v>1730</v>
      </c>
      <c r="D56" s="1003" t="s">
        <v>1731</v>
      </c>
      <c r="E56" s="980">
        <v>63</v>
      </c>
      <c r="F56" s="960" t="s">
        <v>1732</v>
      </c>
      <c r="AX56" s="1004" t="s">
        <v>1733</v>
      </c>
      <c r="AZ56" s="1004" t="s">
        <v>1299</v>
      </c>
      <c r="BE56" s="1004">
        <v>2054</v>
      </c>
      <c r="BH56" s="956" t="s">
        <v>24</v>
      </c>
      <c r="BJ56" s="1100" t="s">
        <v>1682</v>
      </c>
      <c r="BL56" s="1100" t="s">
        <v>1682</v>
      </c>
    </row>
    <row r="57" spans="1:64" ht="11.25" customHeight="1">
      <c r="A57" s="960" t="s">
        <v>1734</v>
      </c>
      <c r="D57" s="1003" t="s">
        <v>1735</v>
      </c>
      <c r="E57" s="980">
        <v>66</v>
      </c>
      <c r="F57" s="960" t="s">
        <v>1732</v>
      </c>
      <c r="AX57" s="1004" t="s">
        <v>1736</v>
      </c>
      <c r="AZ57" s="1004" t="s">
        <v>1334</v>
      </c>
      <c r="BE57" s="1004">
        <v>2055</v>
      </c>
      <c r="BJ57" s="1100" t="s">
        <v>1691</v>
      </c>
      <c r="BL57" s="1100" t="s">
        <v>1691</v>
      </c>
    </row>
    <row r="58" spans="1:64" ht="11.25" customHeight="1">
      <c r="A58" s="960" t="s">
        <v>1737</v>
      </c>
      <c r="D58" s="1003" t="s">
        <v>1738</v>
      </c>
      <c r="E58" s="980">
        <v>44</v>
      </c>
      <c r="F58" s="960" t="s">
        <v>1732</v>
      </c>
      <c r="AX58" s="1004" t="s">
        <v>1739</v>
      </c>
      <c r="BE58" s="1004">
        <v>2056</v>
      </c>
      <c r="BJ58" s="1100" t="s">
        <v>1695</v>
      </c>
      <c r="BL58" s="1100" t="s">
        <v>1695</v>
      </c>
    </row>
    <row r="59" spans="1:64" ht="11.25" customHeight="1">
      <c r="A59" s="960" t="s">
        <v>1740</v>
      </c>
      <c r="D59" s="1003" t="s">
        <v>166</v>
      </c>
      <c r="E59" s="980" t="s">
        <v>1567</v>
      </c>
      <c r="F59" s="960" t="s">
        <v>1741</v>
      </c>
      <c r="AX59" s="1004" t="s">
        <v>1742</v>
      </c>
      <c r="AZ59" s="953" t="s">
        <v>1743</v>
      </c>
      <c r="BE59" s="1004">
        <v>2057</v>
      </c>
      <c r="BJ59" s="1100" t="s">
        <v>1699</v>
      </c>
      <c r="BL59" s="1100" t="s">
        <v>1699</v>
      </c>
    </row>
    <row r="60" spans="1:64" ht="11.25" customHeight="1">
      <c r="A60" s="960" t="s">
        <v>1744</v>
      </c>
      <c r="D60" s="1003" t="s">
        <v>1745</v>
      </c>
      <c r="E60" s="980" t="s">
        <v>1567</v>
      </c>
      <c r="F60" s="960" t="s">
        <v>1741</v>
      </c>
      <c r="AX60" s="1004" t="s">
        <v>1746</v>
      </c>
      <c r="AZ60" s="1004" t="s">
        <v>1273</v>
      </c>
      <c r="BE60" s="1004">
        <v>2058</v>
      </c>
      <c r="BJ60" s="1100" t="s">
        <v>1705</v>
      </c>
      <c r="BL60" s="1100" t="s">
        <v>1705</v>
      </c>
    </row>
    <row r="61" spans="1:64" ht="11.25" customHeight="1">
      <c r="A61" s="960" t="s">
        <v>1747</v>
      </c>
      <c r="D61" s="1003" t="s">
        <v>1748</v>
      </c>
      <c r="E61" s="980">
        <v>28</v>
      </c>
      <c r="F61" s="960" t="s">
        <v>1741</v>
      </c>
      <c r="AX61" s="1004" t="s">
        <v>1749</v>
      </c>
      <c r="AZ61" s="1004" t="s">
        <v>1300</v>
      </c>
      <c r="BE61" s="1004">
        <v>2059</v>
      </c>
      <c r="BL61" s="1100" t="s">
        <v>1096</v>
      </c>
    </row>
    <row r="62" spans="1:64" ht="11.25" customHeight="1">
      <c r="A62" s="960" t="s">
        <v>1750</v>
      </c>
      <c r="D62" s="1003" t="s">
        <v>165</v>
      </c>
      <c r="E62" s="980">
        <v>56</v>
      </c>
      <c r="F62" s="960" t="s">
        <v>1741</v>
      </c>
      <c r="AZ62" s="1004" t="s">
        <v>1335</v>
      </c>
      <c r="BE62" s="1004">
        <v>2060</v>
      </c>
      <c r="BL62" s="1100" t="s">
        <v>1098</v>
      </c>
    </row>
    <row r="63" spans="1:64" ht="11.25" customHeight="1">
      <c r="A63" s="960" t="s">
        <v>1751</v>
      </c>
      <c r="D63" s="1003" t="s">
        <v>1752</v>
      </c>
      <c r="E63" s="980">
        <v>61</v>
      </c>
      <c r="F63" s="960" t="s">
        <v>1741</v>
      </c>
      <c r="AZ63" s="1004" t="s">
        <v>1366</v>
      </c>
      <c r="BE63" s="1004">
        <v>2061</v>
      </c>
    </row>
    <row r="64" spans="1:64" ht="11.25" customHeight="1">
      <c r="A64" s="960" t="s">
        <v>1753</v>
      </c>
      <c r="D64" s="1003" t="s">
        <v>1754</v>
      </c>
      <c r="E64" s="980">
        <v>61</v>
      </c>
      <c r="F64" s="960" t="s">
        <v>1741</v>
      </c>
      <c r="AZ64" s="1004" t="s">
        <v>1389</v>
      </c>
      <c r="BE64" s="1004">
        <v>2062</v>
      </c>
    </row>
    <row r="65" spans="1:66" ht="11.25" customHeight="1">
      <c r="A65" s="960" t="s">
        <v>1755</v>
      </c>
      <c r="D65" s="960"/>
      <c r="BE65" s="1004">
        <v>2063</v>
      </c>
    </row>
    <row r="66" spans="1:66" ht="11.25" customHeight="1">
      <c r="A66" s="960" t="s">
        <v>1756</v>
      </c>
      <c r="AZ66" s="953" t="s">
        <v>1757</v>
      </c>
      <c r="BE66" s="1004">
        <v>2064</v>
      </c>
    </row>
    <row r="67" spans="1:66" ht="11.25" customHeight="1">
      <c r="A67" s="960" t="s">
        <v>1758</v>
      </c>
      <c r="AZ67" s="1004" t="s">
        <v>1274</v>
      </c>
      <c r="BE67" s="1004">
        <v>2065</v>
      </c>
    </row>
    <row r="68" spans="1:66" ht="11.25" customHeight="1">
      <c r="A68" s="960" t="s">
        <v>1759</v>
      </c>
      <c r="AZ68" s="1004" t="s">
        <v>1301</v>
      </c>
      <c r="BE68" s="1004">
        <v>2066</v>
      </c>
      <c r="BH68" s="953" t="s">
        <v>1760</v>
      </c>
      <c r="BJ68" s="953" t="s">
        <v>1761</v>
      </c>
      <c r="BL68" s="953" t="s">
        <v>1762</v>
      </c>
      <c r="BN68" s="953" t="s">
        <v>1763</v>
      </c>
    </row>
    <row r="69" spans="1:66" ht="11.25" customHeight="1">
      <c r="A69" s="960" t="s">
        <v>1764</v>
      </c>
      <c r="AZ69" s="1004" t="s">
        <v>1336</v>
      </c>
      <c r="BE69" s="1004">
        <v>2067</v>
      </c>
      <c r="BH69" s="954" t="s">
        <v>1765</v>
      </c>
      <c r="BI69" s="1002" t="s">
        <v>147</v>
      </c>
      <c r="BJ69" s="954" t="s">
        <v>1766</v>
      </c>
      <c r="BK69" s="1002" t="s">
        <v>147</v>
      </c>
      <c r="BL69" s="954" t="s">
        <v>1767</v>
      </c>
      <c r="BN69" s="954" t="s">
        <v>1768</v>
      </c>
    </row>
    <row r="70" spans="1:66" ht="11.25" customHeight="1">
      <c r="A70" s="960" t="s">
        <v>1769</v>
      </c>
      <c r="AZ70" s="1004" t="s">
        <v>1367</v>
      </c>
      <c r="BE70" s="1004">
        <v>2068</v>
      </c>
      <c r="BH70" s="954" t="s">
        <v>1770</v>
      </c>
      <c r="BJ70" s="954" t="s">
        <v>1771</v>
      </c>
      <c r="BL70" s="954" t="s">
        <v>1772</v>
      </c>
      <c r="BN70" s="954" t="s">
        <v>1773</v>
      </c>
    </row>
    <row r="71" spans="1:66" ht="11.25" customHeight="1">
      <c r="A71" s="960" t="s">
        <v>1774</v>
      </c>
      <c r="AZ71" s="1004" t="s">
        <v>1369</v>
      </c>
      <c r="BE71" s="1004">
        <v>2069</v>
      </c>
      <c r="BH71" s="954" t="s">
        <v>1775</v>
      </c>
      <c r="BI71" s="1002" t="s">
        <v>89</v>
      </c>
      <c r="BJ71" s="954" t="s">
        <v>1776</v>
      </c>
      <c r="BK71" s="1002" t="s">
        <v>89</v>
      </c>
      <c r="BL71" s="954" t="s">
        <v>1777</v>
      </c>
      <c r="BN71" s="954" t="s">
        <v>1778</v>
      </c>
    </row>
    <row r="72" spans="1:66" ht="11.25" customHeight="1">
      <c r="A72" s="960" t="s">
        <v>1779</v>
      </c>
      <c r="AZ72" s="1004" t="s">
        <v>56</v>
      </c>
      <c r="BE72" s="1004">
        <v>2070</v>
      </c>
      <c r="BH72" s="954" t="s">
        <v>1780</v>
      </c>
      <c r="BJ72" s="954" t="s">
        <v>1780</v>
      </c>
      <c r="BL72" s="954" t="s">
        <v>1780</v>
      </c>
      <c r="BN72" s="954" t="s">
        <v>1781</v>
      </c>
    </row>
    <row r="73" spans="1:66" ht="11.25" customHeight="1">
      <c r="A73" s="960" t="s">
        <v>1782</v>
      </c>
      <c r="BH73" s="954" t="s">
        <v>1783</v>
      </c>
      <c r="BI73" s="1002" t="s">
        <v>117</v>
      </c>
      <c r="BJ73" s="954" t="s">
        <v>1784</v>
      </c>
      <c r="BK73" s="1002" t="s">
        <v>117</v>
      </c>
      <c r="BL73" s="954" t="s">
        <v>1785</v>
      </c>
      <c r="BN73" s="954" t="s">
        <v>1786</v>
      </c>
    </row>
    <row r="74" spans="1:66" ht="11.25" customHeight="1">
      <c r="A74" s="960" t="s">
        <v>1787</v>
      </c>
      <c r="BH74" s="954" t="s">
        <v>1788</v>
      </c>
      <c r="BJ74" s="954" t="s">
        <v>1789</v>
      </c>
      <c r="BL74" s="954" t="s">
        <v>1790</v>
      </c>
      <c r="BN74" s="954" t="s">
        <v>1791</v>
      </c>
    </row>
    <row r="75" spans="1:66" ht="11.25" customHeight="1">
      <c r="A75" s="960" t="s">
        <v>1792</v>
      </c>
      <c r="AZ75" s="953" t="s">
        <v>1793</v>
      </c>
      <c r="BH75" s="954" t="s">
        <v>1794</v>
      </c>
      <c r="BJ75" s="954" t="s">
        <v>1794</v>
      </c>
      <c r="BL75" s="954" t="s">
        <v>1794</v>
      </c>
    </row>
    <row r="76" spans="1:66" ht="11.25" customHeight="1">
      <c r="A76" s="960" t="s">
        <v>1795</v>
      </c>
      <c r="AZ76" s="1004" t="s">
        <v>1283</v>
      </c>
      <c r="BH76" s="954" t="s">
        <v>1796</v>
      </c>
      <c r="BJ76" s="954" t="s">
        <v>1797</v>
      </c>
      <c r="BL76" s="954" t="s">
        <v>1798</v>
      </c>
    </row>
    <row r="77" spans="1:66" ht="11.25" customHeight="1">
      <c r="A77" s="960" t="s">
        <v>1799</v>
      </c>
      <c r="AZ77" s="1004" t="s">
        <v>1311</v>
      </c>
    </row>
    <row r="78" spans="1:66" ht="11.25" customHeight="1">
      <c r="A78" s="960" t="s">
        <v>1800</v>
      </c>
      <c r="AZ78" s="1004" t="s">
        <v>1343</v>
      </c>
    </row>
    <row r="79" spans="1:66" ht="11.25" customHeight="1">
      <c r="A79" s="960" t="s">
        <v>1801</v>
      </c>
      <c r="AZ79" s="1004" t="s">
        <v>1373</v>
      </c>
      <c r="BH79" s="953" t="s">
        <v>1802</v>
      </c>
      <c r="BJ79" s="953" t="s">
        <v>1803</v>
      </c>
      <c r="BL79" s="953" t="s">
        <v>1804</v>
      </c>
    </row>
    <row r="80" spans="1:66" ht="11.25" customHeight="1">
      <c r="A80" s="960" t="s">
        <v>1805</v>
      </c>
      <c r="AZ80" s="1004" t="s">
        <v>1394</v>
      </c>
      <c r="BH80" s="954" t="s">
        <v>1806</v>
      </c>
      <c r="BJ80" s="954" t="s">
        <v>1807</v>
      </c>
      <c r="BL80" s="954" t="s">
        <v>1808</v>
      </c>
    </row>
    <row r="81" spans="1:66" ht="11.25" customHeight="1">
      <c r="A81" s="960" t="s">
        <v>1809</v>
      </c>
      <c r="AZ81" s="1004" t="s">
        <v>1411</v>
      </c>
      <c r="BH81" s="954" t="s">
        <v>1810</v>
      </c>
      <c r="BJ81" s="954" t="s">
        <v>1811</v>
      </c>
      <c r="BL81" s="954" t="s">
        <v>1812</v>
      </c>
    </row>
    <row r="82" spans="1:66" ht="11.25" customHeight="1">
      <c r="A82" s="960" t="s">
        <v>1813</v>
      </c>
      <c r="AZ82" s="1004" t="s">
        <v>1426</v>
      </c>
      <c r="BH82" s="954" t="s">
        <v>1814</v>
      </c>
      <c r="BJ82" s="954" t="s">
        <v>1815</v>
      </c>
      <c r="BL82" s="954" t="s">
        <v>1816</v>
      </c>
    </row>
    <row r="83" spans="1:66" ht="11.25" customHeight="1">
      <c r="A83" s="960" t="s">
        <v>1817</v>
      </c>
      <c r="BH83" s="954" t="s">
        <v>1818</v>
      </c>
      <c r="BJ83" s="954" t="s">
        <v>1819</v>
      </c>
      <c r="BL83" s="954" t="s">
        <v>1820</v>
      </c>
    </row>
    <row r="84" spans="1:66" ht="11.25" customHeight="1">
      <c r="A84" s="960" t="s">
        <v>1821</v>
      </c>
      <c r="AZ84" s="953" t="s">
        <v>1822</v>
      </c>
    </row>
    <row r="85" spans="1:66" ht="11.25" customHeight="1">
      <c r="A85" s="1731" t="s">
        <v>1823</v>
      </c>
      <c r="AZ85" s="1004" t="s">
        <v>1824</v>
      </c>
    </row>
    <row r="86" spans="1:66" ht="11.25" customHeight="1">
      <c r="A86" s="960" t="s">
        <v>1825</v>
      </c>
      <c r="AZ86" s="1004" t="s">
        <v>1826</v>
      </c>
      <c r="BH86" s="953" t="s">
        <v>1827</v>
      </c>
      <c r="BJ86" s="953" t="s">
        <v>1828</v>
      </c>
      <c r="BL86" s="953" t="s">
        <v>1829</v>
      </c>
    </row>
    <row r="87" spans="1:66" ht="11.25" customHeight="1">
      <c r="A87" s="960" t="s">
        <v>1830</v>
      </c>
      <c r="AZ87" s="1004" t="s">
        <v>1831</v>
      </c>
      <c r="BH87" s="954" t="s">
        <v>1832</v>
      </c>
      <c r="BJ87" s="954" t="s">
        <v>1833</v>
      </c>
      <c r="BL87" s="954" t="s">
        <v>1834</v>
      </c>
    </row>
    <row r="88" spans="1:66" ht="11.25" customHeight="1">
      <c r="A88" s="960" t="s">
        <v>1835</v>
      </c>
      <c r="AZ88" s="1474"/>
      <c r="BH88" s="954" t="s">
        <v>1836</v>
      </c>
      <c r="BJ88" s="954" t="s">
        <v>1837</v>
      </c>
      <c r="BL88" s="954" t="s">
        <v>1838</v>
      </c>
    </row>
    <row r="89" spans="1:66" ht="11.25" customHeight="1">
      <c r="A89" s="960" t="s">
        <v>1839</v>
      </c>
      <c r="AZ89" s="953" t="s">
        <v>1840</v>
      </c>
    </row>
    <row r="90" spans="1:66" ht="11.25" customHeight="1">
      <c r="A90" s="960" t="s">
        <v>1841</v>
      </c>
      <c r="AZ90" s="1004" t="s">
        <v>1074</v>
      </c>
    </row>
    <row r="91" spans="1:66" ht="11.25" customHeight="1">
      <c r="A91" s="960" t="s">
        <v>1842</v>
      </c>
      <c r="AZ91" s="1004" t="s">
        <v>1110</v>
      </c>
      <c r="BH91" s="953" t="s">
        <v>1843</v>
      </c>
      <c r="BJ91" s="953" t="s">
        <v>1844</v>
      </c>
      <c r="BL91" s="953" t="s">
        <v>1845</v>
      </c>
    </row>
    <row r="92" spans="1:66" ht="11.25" customHeight="1">
      <c r="AZ92" s="1004" t="s">
        <v>1846</v>
      </c>
      <c r="BH92" s="954" t="s">
        <v>1847</v>
      </c>
      <c r="BJ92" s="954" t="s">
        <v>1848</v>
      </c>
      <c r="BL92" s="954" t="s">
        <v>1849</v>
      </c>
    </row>
    <row r="93" spans="1:66" ht="11.25" customHeight="1">
      <c r="AZ93" s="1004" t="s">
        <v>1850</v>
      </c>
      <c r="BH93" s="954" t="s">
        <v>1851</v>
      </c>
      <c r="BJ93" s="954" t="s">
        <v>1852</v>
      </c>
      <c r="BL93" s="954" t="s">
        <v>1853</v>
      </c>
    </row>
    <row r="94" spans="1:66" ht="11.25" customHeight="1">
      <c r="AZ94" s="1004" t="s">
        <v>1854</v>
      </c>
    </row>
    <row r="96" spans="1:66" ht="11.25" customHeight="1">
      <c r="AZ96" s="953" t="s">
        <v>1855</v>
      </c>
      <c r="BH96" s="953" t="s">
        <v>1856</v>
      </c>
      <c r="BJ96" s="953" t="s">
        <v>1857</v>
      </c>
      <c r="BL96" s="953" t="s">
        <v>1858</v>
      </c>
      <c r="BN96" s="953" t="s">
        <v>1859</v>
      </c>
    </row>
    <row r="97" spans="52:66" ht="11.25" customHeight="1">
      <c r="AZ97" s="1761" t="s">
        <v>1860</v>
      </c>
      <c r="BA97" s="1762" t="s">
        <v>1861</v>
      </c>
      <c r="BH97" s="954" t="s">
        <v>1862</v>
      </c>
      <c r="BJ97" s="954" t="s">
        <v>1863</v>
      </c>
      <c r="BL97" s="954" t="s">
        <v>1864</v>
      </c>
      <c r="BN97" s="954" t="s">
        <v>1865</v>
      </c>
    </row>
    <row r="98" spans="52:66" ht="11.25" customHeight="1">
      <c r="AZ98" s="1761" t="s">
        <v>1866</v>
      </c>
      <c r="BA98" s="1762" t="s">
        <v>1867</v>
      </c>
      <c r="BH98" s="954" t="s">
        <v>1868</v>
      </c>
      <c r="BJ98" s="954" t="s">
        <v>1869</v>
      </c>
      <c r="BL98" s="954" t="s">
        <v>1870</v>
      </c>
      <c r="BN98" s="954" t="s">
        <v>1871</v>
      </c>
    </row>
    <row r="99" spans="52:66" ht="22.5" customHeight="1">
      <c r="AZ99" s="1761" t="s">
        <v>1872</v>
      </c>
      <c r="BA99" s="176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1873</v>
      </c>
      <c r="BJ99" s="954" t="s">
        <v>1874</v>
      </c>
      <c r="BL99" s="954" t="s">
        <v>1875</v>
      </c>
      <c r="BN99" s="954" t="s">
        <v>1876</v>
      </c>
    </row>
    <row r="100" spans="52:66" ht="22.5" customHeight="1">
      <c r="AZ100" s="1761" t="s">
        <v>1877</v>
      </c>
      <c r="BA100" s="17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1471</v>
      </c>
      <c r="BL100" s="954" t="s">
        <v>1471</v>
      </c>
      <c r="BN100" s="954" t="s">
        <v>1878</v>
      </c>
    </row>
    <row r="101" spans="52:66" ht="22.5" customHeight="1">
      <c r="AZ101" s="1761" t="s">
        <v>1879</v>
      </c>
      <c r="BA101" s="1762" t="s">
        <v>1880</v>
      </c>
      <c r="BN101" s="954" t="s">
        <v>1881</v>
      </c>
    </row>
    <row r="102" spans="52:66" ht="22.5" customHeight="1">
      <c r="AZ102" s="1761" t="s">
        <v>1882</v>
      </c>
      <c r="BA102" s="17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1883</v>
      </c>
    </row>
    <row r="103" spans="52:66" ht="11.25" customHeight="1">
      <c r="AZ103" s="1761" t="s">
        <v>1884</v>
      </c>
      <c r="BA103" s="1762" t="s">
        <v>1885</v>
      </c>
      <c r="BN103" s="954" t="s">
        <v>1886</v>
      </c>
    </row>
    <row r="104" spans="52:66" ht="11.25" customHeight="1">
      <c r="BN104" s="954" t="s">
        <v>1887</v>
      </c>
    </row>
    <row r="105" spans="52:66" ht="11.25" customHeight="1">
      <c r="AZ105" s="1555" t="s">
        <v>1888</v>
      </c>
    </row>
    <row r="106" spans="52:66" ht="11.25" customHeight="1">
      <c r="AZ106" s="1004" t="s">
        <v>1889</v>
      </c>
    </row>
    <row r="107" spans="52:66" ht="11.25" customHeight="1">
      <c r="AZ107" s="1004" t="s">
        <v>1890</v>
      </c>
      <c r="BH107" s="953" t="s">
        <v>1891</v>
      </c>
      <c r="BJ107" s="953" t="s">
        <v>1892</v>
      </c>
      <c r="BL107" s="953" t="s">
        <v>1893</v>
      </c>
      <c r="BN107" s="953" t="s">
        <v>1894</v>
      </c>
    </row>
    <row r="108" spans="52:66" ht="11.25" customHeight="1">
      <c r="AZ108" s="1004" t="s">
        <v>709</v>
      </c>
      <c r="BH108" s="954" t="s">
        <v>1895</v>
      </c>
      <c r="BJ108" s="954" t="s">
        <v>1896</v>
      </c>
      <c r="BL108" s="954" t="s">
        <v>1555</v>
      </c>
      <c r="BN108" s="954" t="s">
        <v>1897</v>
      </c>
    </row>
    <row r="109" spans="52:66" ht="11.25" customHeight="1">
      <c r="BH109" s="954" t="s">
        <v>1898</v>
      </c>
    </row>
    <row r="110" spans="52:66" ht="11.25" customHeight="1">
      <c r="AZ110" s="1555" t="s">
        <v>1899</v>
      </c>
      <c r="BH110" s="954" t="s">
        <v>1898</v>
      </c>
    </row>
    <row r="111" spans="52:66" ht="11.25" customHeight="1">
      <c r="AZ111" s="1761" t="s">
        <v>1860</v>
      </c>
      <c r="BA111" s="1762" t="s">
        <v>1861</v>
      </c>
    </row>
    <row r="112" spans="52:66" ht="11.25" customHeight="1">
      <c r="AZ112" s="1761" t="s">
        <v>1866</v>
      </c>
      <c r="BA112" s="1762" t="s">
        <v>1867</v>
      </c>
    </row>
    <row r="113" spans="52:60" ht="22.5" customHeight="1">
      <c r="AZ113" s="1761" t="s">
        <v>1872</v>
      </c>
      <c r="BA113" s="176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1" t="s">
        <v>1877</v>
      </c>
      <c r="BA114" s="17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1900</v>
      </c>
    </row>
    <row r="115" spans="52:60" ht="22.5" customHeight="1">
      <c r="AZ115" s="1761" t="s">
        <v>1882</v>
      </c>
      <c r="BA115" s="176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1270</v>
      </c>
    </row>
    <row r="116" spans="52:60" ht="11.25" customHeight="1">
      <c r="AZ116" s="1761" t="s">
        <v>1884</v>
      </c>
      <c r="BA116" s="1762" t="s">
        <v>1885</v>
      </c>
      <c r="BH116" s="954" t="s">
        <v>1297</v>
      </c>
    </row>
    <row r="117" spans="52:60" ht="11.25" customHeight="1">
      <c r="BH117" s="954" t="s">
        <v>1332</v>
      </c>
    </row>
    <row r="118" spans="52:60" ht="11.25" customHeight="1">
      <c r="BH118" s="954" t="s">
        <v>1365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4398" hidden="1" customWidth="1"/>
    <col min="3" max="3" width="3.7109375" style="14401" customWidth="1"/>
    <col min="4" max="4" width="6.85546875" style="14402" customWidth="1"/>
    <col min="5" max="5" width="52.28515625" style="14401" customWidth="1"/>
    <col min="6" max="6" width="48.85546875" style="14401" customWidth="1"/>
    <col min="7" max="7" width="93.42578125" style="14401" customWidth="1"/>
    <col min="8" max="8" width="9.140625" style="14401"/>
    <col min="9" max="9" width="65" style="14401" customWidth="1"/>
  </cols>
  <sheetData>
    <row r="1" spans="1:9" ht="11.25" hidden="1" customHeight="1">
      <c r="A1" s="408" t="s">
        <v>436</v>
      </c>
    </row>
    <row r="2" spans="1:9" ht="22.5" hidden="1" customHeight="1">
      <c r="A2" s="409"/>
      <c r="B2" s="409"/>
      <c r="C2" s="1592" t="s">
        <v>103</v>
      </c>
      <c r="D2" s="1391"/>
      <c r="E2" s="1397"/>
      <c r="F2" s="1418"/>
      <c r="H2" s="383"/>
    </row>
    <row r="3" spans="1:9" ht="11.25" hidden="1" customHeight="1"/>
    <row r="4" spans="1:9" ht="11.25" customHeight="1">
      <c r="A4" s="1419"/>
      <c r="B4" s="1419"/>
    </row>
    <row r="5" spans="1:9" ht="26.25" customHeight="1">
      <c r="D5" s="1598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5986"/>
      <c r="F5" s="15987"/>
      <c r="I5" s="615"/>
    </row>
    <row r="6" spans="1:9" ht="17.25" customHeight="1">
      <c r="D6" s="16056" t="str">
        <f>IF(region_name=0,"Не определено",region_name)</f>
        <v>Мурманская область</v>
      </c>
      <c r="E6" s="16056"/>
      <c r="F6" s="16056"/>
      <c r="I6" s="615"/>
    </row>
    <row r="7" spans="1:9" s="14397" customFormat="1" ht="11.25" customHeight="1">
      <c r="A7" s="408"/>
      <c r="B7" s="408"/>
      <c r="D7" s="614"/>
      <c r="E7" s="614"/>
      <c r="F7" s="650"/>
      <c r="G7" s="614"/>
    </row>
    <row r="8" spans="1:9" ht="11.25" hidden="1" customHeight="1">
      <c r="A8" s="409"/>
      <c r="B8" s="409"/>
      <c r="C8" s="366"/>
      <c r="D8" s="371"/>
      <c r="E8" s="16082"/>
      <c r="F8" s="16082"/>
    </row>
    <row r="9" spans="1:9" ht="11.25" customHeight="1">
      <c r="A9" s="409"/>
      <c r="B9" s="409"/>
      <c r="C9" s="366"/>
      <c r="D9" s="16079" t="s">
        <v>437</v>
      </c>
      <c r="E9" s="16080"/>
      <c r="F9" s="16080"/>
      <c r="G9" s="16083" t="s">
        <v>438</v>
      </c>
    </row>
    <row r="10" spans="1:9" ht="11.25" customHeight="1">
      <c r="A10" s="409"/>
      <c r="B10" s="409"/>
      <c r="C10" s="366"/>
      <c r="D10" s="1345" t="s">
        <v>87</v>
      </c>
      <c r="E10" s="1347" t="s">
        <v>439</v>
      </c>
      <c r="F10" s="1347" t="s">
        <v>440</v>
      </c>
      <c r="G10" s="16084"/>
    </row>
    <row r="11" spans="1:9" ht="0.75" customHeight="1">
      <c r="A11" s="409"/>
      <c r="B11" s="409"/>
      <c r="C11" s="366"/>
      <c r="D11" s="372"/>
      <c r="E11" s="372"/>
      <c r="F11" s="372"/>
      <c r="G11" s="372"/>
    </row>
    <row r="12" spans="1:9" ht="22.5" customHeight="1">
      <c r="A12" s="409"/>
      <c r="B12" s="409"/>
      <c r="C12" s="366"/>
      <c r="D12" s="1391">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68" t="str">
        <f>IF(org="","",org)</f>
        <v>АО "Мурманэнергосбыт"</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3"/>
    </row>
    <row r="13" spans="1:9" ht="18.75" customHeight="1">
      <c r="A13" s="409"/>
      <c r="B13" s="409"/>
      <c r="C13" s="366"/>
      <c r="D13" s="1391">
        <v>2</v>
      </c>
      <c r="E13" s="1398" t="s">
        <v>1901</v>
      </c>
      <c r="F13" s="1392" t="s">
        <v>443</v>
      </c>
      <c r="G13" s="382"/>
      <c r="H13" s="1403"/>
    </row>
    <row r="14" spans="1:9" ht="18.75" customHeight="1">
      <c r="A14" s="409"/>
      <c r="B14" s="409"/>
      <c r="C14" s="366"/>
      <c r="D14" s="1394" t="s">
        <v>760</v>
      </c>
      <c r="E14" s="1395" t="s">
        <v>1902</v>
      </c>
      <c r="F14" s="1397"/>
      <c r="G14" s="1396" t="s">
        <v>1903</v>
      </c>
      <c r="H14" s="1403"/>
    </row>
    <row r="15" spans="1:9" ht="18.75" customHeight="1">
      <c r="A15" s="409"/>
      <c r="B15" s="409"/>
      <c r="C15" s="366"/>
      <c r="D15" s="1394" t="s">
        <v>444</v>
      </c>
      <c r="E15" s="1395" t="s">
        <v>1904</v>
      </c>
      <c r="F15" s="1397"/>
      <c r="G15" s="1396" t="s">
        <v>1905</v>
      </c>
      <c r="H15" s="1403"/>
    </row>
    <row r="16" spans="1:9" ht="22.5" customHeight="1">
      <c r="A16" s="409"/>
      <c r="B16" s="409"/>
      <c r="C16" s="366"/>
      <c r="D16" s="1394" t="s">
        <v>447</v>
      </c>
      <c r="E16" s="1393" t="s">
        <v>1906</v>
      </c>
      <c r="F16" s="1401"/>
      <c r="G16" s="382" t="s">
        <v>1907</v>
      </c>
      <c r="H16" s="1403"/>
    </row>
    <row r="17" spans="1:9" ht="45" customHeight="1">
      <c r="A17" s="409"/>
      <c r="B17" s="409"/>
      <c r="C17" s="366"/>
      <c r="D17" s="1391">
        <v>3</v>
      </c>
      <c r="E17" s="1398" t="s">
        <v>1908</v>
      </c>
      <c r="F17" s="1397"/>
      <c r="G17" s="382" t="s">
        <v>1909</v>
      </c>
      <c r="H17" s="1403"/>
    </row>
    <row r="18" spans="1:9" ht="45" customHeight="1">
      <c r="A18" s="1346">
        <v>1</v>
      </c>
      <c r="B18" s="409"/>
      <c r="C18" s="1348"/>
      <c r="D18" s="1391" t="s">
        <v>90</v>
      </c>
      <c r="E18" s="1398" t="s">
        <v>1910</v>
      </c>
      <c r="F18" s="1397"/>
      <c r="G18" s="382" t="s">
        <v>1909</v>
      </c>
      <c r="H18" s="1403"/>
      <c r="I18" s="746"/>
    </row>
    <row r="19" spans="1:9" ht="22.5" customHeight="1">
      <c r="A19" s="409"/>
      <c r="B19" s="409"/>
      <c r="C19" s="366"/>
      <c r="D19" s="1391" t="s">
        <v>117</v>
      </c>
      <c r="E19" s="1398" t="s">
        <v>1911</v>
      </c>
      <c r="F19" s="1392" t="s">
        <v>443</v>
      </c>
      <c r="G19" s="16283" t="s">
        <v>1912</v>
      </c>
      <c r="H19" s="383"/>
    </row>
    <row r="20" spans="1:9" s="15907" customFormat="1" ht="5.25" hidden="1" customHeight="1">
      <c r="A20" s="409"/>
      <c r="B20" s="409"/>
      <c r="C20" s="1400"/>
      <c r="D20" s="1399" t="s">
        <v>1171</v>
      </c>
      <c r="E20" s="902"/>
      <c r="F20" s="901"/>
      <c r="G20" s="16284"/>
    </row>
    <row r="21" spans="1:9" ht="15" customHeight="1">
      <c r="A21" s="409"/>
      <c r="B21" s="409"/>
      <c r="C21" s="366"/>
      <c r="D21" s="375"/>
      <c r="E21" s="330" t="s">
        <v>476</v>
      </c>
      <c r="F21" s="377"/>
      <c r="G21" s="16285"/>
      <c r="H21" s="1403"/>
    </row>
    <row r="22" spans="1:9" s="14398" customFormat="1" ht="24.75" customHeight="1">
      <c r="A22" s="409"/>
      <c r="B22" s="409"/>
      <c r="C22" s="409"/>
      <c r="D22" s="1391" t="s">
        <v>91</v>
      </c>
      <c r="E22" s="382" t="s">
        <v>1913</v>
      </c>
      <c r="F22" s="1397"/>
      <c r="G22" s="382" t="s">
        <v>1914</v>
      </c>
      <c r="H22" s="1402"/>
    </row>
    <row r="23" spans="1:9" s="14398" customFormat="1" ht="18.75" customHeight="1">
      <c r="A23" s="409"/>
      <c r="B23" s="409"/>
      <c r="C23" s="409"/>
      <c r="D23" s="1391" t="s">
        <v>92</v>
      </c>
      <c r="E23" s="1398" t="s">
        <v>1915</v>
      </c>
      <c r="F23" s="1401"/>
      <c r="G23" s="382" t="s">
        <v>1916</v>
      </c>
      <c r="H23" s="1402"/>
    </row>
    <row r="24" spans="1:9" s="14398" customFormat="1" ht="144" hidden="1" customHeight="1">
      <c r="A24" s="409"/>
      <c r="B24" s="409"/>
      <c r="C24" s="409"/>
      <c r="D24" s="1391" t="s">
        <v>132</v>
      </c>
      <c r="E24" s="175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58"/>
      <c r="G24" s="175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2"/>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4427" hidden="1"/>
    <col min="2" max="2" width="9.140625" style="14419" hidden="1"/>
    <col min="3" max="3" width="3.7109375" style="14427" hidden="1" customWidth="1"/>
    <col min="4" max="4" width="3.85546875" style="14408" customWidth="1"/>
    <col min="5" max="5" width="6.28515625" style="14427" customWidth="1"/>
    <col min="6" max="6" width="46.7109375" style="14427" customWidth="1"/>
    <col min="7" max="8" width="16.7109375" style="14427" customWidth="1"/>
    <col min="9" max="9" width="35.28515625" style="14427" customWidth="1"/>
    <col min="10" max="10" width="89.5703125" style="14427" customWidth="1"/>
    <col min="11" max="11" width="3.7109375" style="15908" customWidth="1"/>
    <col min="12" max="14" width="9.140625" style="15908"/>
    <col min="15" max="15" width="25.7109375" style="14366" customWidth="1"/>
    <col min="16" max="16" width="14.42578125" style="15908" customWidth="1"/>
    <col min="17" max="20" width="9.140625" style="14367"/>
    <col min="21" max="254" width="9.140625" style="14427"/>
  </cols>
  <sheetData>
    <row r="1" spans="1:254" ht="14.25" hidden="1" customHeight="1"/>
    <row r="2" spans="1:254" s="14359" customFormat="1" ht="22.5" hidden="1" customHeight="1">
      <c r="A2" s="729"/>
      <c r="B2" s="1041">
        <v>1</v>
      </c>
      <c r="C2" s="1041"/>
      <c r="D2" s="1785" t="s">
        <v>103</v>
      </c>
      <c r="E2" s="1355"/>
      <c r="F2" s="1362"/>
      <c r="G2" s="1362"/>
      <c r="H2" s="1362"/>
      <c r="I2" s="1408"/>
      <c r="J2" s="149"/>
      <c r="K2" s="1405"/>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4421" customFormat="1" ht="5.25" hidden="1" customHeight="1">
      <c r="A3" s="403"/>
      <c r="D3" s="401"/>
      <c r="F3" s="166" t="s">
        <v>82</v>
      </c>
      <c r="G3" s="401" t="s">
        <v>83</v>
      </c>
      <c r="H3" s="401"/>
      <c r="I3" s="401"/>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4358" customFormat="1" ht="14.25" customHeight="1">
      <c r="A4" s="1036"/>
      <c r="B4" s="1041"/>
      <c r="C4" s="1036"/>
      <c r="D4" s="1366"/>
      <c r="E4" s="416"/>
      <c r="F4" s="416"/>
      <c r="G4" s="416"/>
      <c r="H4" s="416"/>
      <c r="I4" s="416"/>
      <c r="J4" s="89"/>
      <c r="K4" s="166"/>
      <c r="L4" s="407"/>
      <c r="M4" s="407"/>
      <c r="N4" s="407"/>
      <c r="O4" s="147"/>
      <c r="P4" s="407"/>
      <c r="Q4" s="146"/>
      <c r="R4" s="146"/>
      <c r="S4" s="146"/>
      <c r="T4" s="146"/>
    </row>
    <row r="5" spans="1:254" s="14358" customFormat="1" ht="25.5" customHeight="1">
      <c r="A5" s="1036"/>
      <c r="B5" s="1041"/>
      <c r="C5" s="1036"/>
      <c r="D5" s="1366"/>
      <c r="E5" s="159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5967"/>
      <c r="G5" s="15967"/>
      <c r="H5" s="15967"/>
      <c r="I5" s="15967"/>
      <c r="J5" s="15967"/>
      <c r="K5" s="166"/>
      <c r="L5" s="407"/>
      <c r="M5" s="407"/>
      <c r="N5" s="407"/>
      <c r="O5" s="147"/>
      <c r="P5" s="407"/>
      <c r="Q5" s="146"/>
      <c r="R5" s="146"/>
      <c r="S5" s="146"/>
      <c r="T5" s="146"/>
    </row>
    <row r="6" spans="1:254" s="14358" customFormat="1" ht="14.25" customHeight="1">
      <c r="A6" s="1036"/>
      <c r="B6" s="1041"/>
      <c r="C6" s="1036"/>
      <c r="D6" s="1366"/>
      <c r="E6" s="416"/>
      <c r="F6" s="90"/>
      <c r="G6" s="90"/>
      <c r="H6" s="90"/>
      <c r="I6" s="90"/>
      <c r="J6" s="91"/>
      <c r="K6" s="407"/>
      <c r="L6" s="407"/>
      <c r="M6" s="407"/>
      <c r="N6" s="407"/>
      <c r="O6" s="147"/>
      <c r="P6" s="407"/>
      <c r="Q6" s="146"/>
      <c r="R6" s="146"/>
      <c r="S6" s="146"/>
      <c r="T6" s="146"/>
    </row>
    <row r="7" spans="1:254" s="14358" customFormat="1" ht="14.25" customHeight="1">
      <c r="A7" s="1036"/>
      <c r="B7" s="1041"/>
      <c r="C7" s="1036"/>
      <c r="D7" s="1366"/>
      <c r="E7" s="15963" t="s">
        <v>437</v>
      </c>
      <c r="F7" s="15968"/>
      <c r="G7" s="15968"/>
      <c r="H7" s="15968"/>
      <c r="I7" s="15968"/>
      <c r="J7" s="16286" t="s">
        <v>438</v>
      </c>
      <c r="K7" s="407"/>
      <c r="L7" s="407"/>
      <c r="M7" s="407"/>
      <c r="N7" s="407"/>
      <c r="O7" s="147"/>
      <c r="P7" s="407"/>
      <c r="Q7" s="146"/>
      <c r="R7" s="146"/>
      <c r="S7" s="146"/>
      <c r="T7" s="146"/>
    </row>
    <row r="8" spans="1:254" s="14358" customFormat="1" ht="20.25" customHeight="1">
      <c r="A8" s="1036"/>
      <c r="B8" s="1041"/>
      <c r="C8" s="1036"/>
      <c r="D8" s="1366"/>
      <c r="E8" s="1417" t="s">
        <v>87</v>
      </c>
      <c r="F8" s="1410" t="s">
        <v>1917</v>
      </c>
      <c r="G8" s="1410" t="s">
        <v>48</v>
      </c>
      <c r="H8" s="1410" t="s">
        <v>50</v>
      </c>
      <c r="I8" s="1410" t="s">
        <v>1918</v>
      </c>
      <c r="J8" s="16287"/>
      <c r="K8" s="407"/>
      <c r="L8" s="407"/>
      <c r="M8" s="407"/>
      <c r="N8" s="407"/>
      <c r="O8" s="147"/>
      <c r="P8" s="407"/>
      <c r="Q8" s="146"/>
      <c r="R8" s="146"/>
      <c r="S8" s="146"/>
      <c r="T8" s="146"/>
    </row>
    <row r="9" spans="1:254" s="14359" customFormat="1" ht="22.5" customHeight="1">
      <c r="A9" s="15966"/>
      <c r="B9" s="1041">
        <v>1</v>
      </c>
      <c r="C9" s="1041"/>
      <c r="D9" s="699"/>
      <c r="E9" s="1355">
        <v>1</v>
      </c>
      <c r="F9" s="1416"/>
      <c r="G9" s="1362"/>
      <c r="H9" s="1362"/>
      <c r="I9" s="1408"/>
      <c r="J9" s="160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5"/>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4359" customFormat="1" ht="15" customHeight="1">
      <c r="A10" s="15966"/>
      <c r="B10" s="1041"/>
      <c r="C10" s="327"/>
      <c r="D10" s="699"/>
      <c r="E10" s="1411"/>
      <c r="F10" s="1371" t="s">
        <v>1919</v>
      </c>
      <c r="G10" s="1412"/>
      <c r="H10" s="1412"/>
      <c r="I10" s="1759"/>
      <c r="J10" s="16034"/>
      <c r="K10" s="1406"/>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4358" customFormat="1" ht="21" customHeight="1">
      <c r="A11" s="1036"/>
      <c r="B11" s="1041"/>
      <c r="C11" s="1036"/>
      <c r="D11" s="363"/>
      <c r="E11" s="103"/>
      <c r="F11" s="103"/>
      <c r="G11" s="103"/>
      <c r="H11" s="103"/>
      <c r="I11" s="103"/>
      <c r="J11" s="103"/>
      <c r="K11" s="407"/>
      <c r="L11" s="407"/>
      <c r="M11" s="407"/>
      <c r="N11" s="407"/>
      <c r="O11" s="147"/>
      <c r="P11" s="407"/>
      <c r="Q11" s="146"/>
      <c r="R11" s="146"/>
      <c r="S11" s="146"/>
      <c r="T11" s="146"/>
    </row>
    <row r="12" spans="1:254" s="14358"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4358"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4360" customFormat="1" ht="10.5" customHeight="1">
      <c r="B14" s="732"/>
      <c r="D14" s="105"/>
      <c r="K14" s="407"/>
      <c r="L14" s="407"/>
      <c r="M14" s="407"/>
      <c r="N14" s="407"/>
      <c r="O14" s="147"/>
      <c r="P14" s="407"/>
      <c r="Q14" s="146"/>
      <c r="R14" s="146"/>
      <c r="S14" s="146"/>
      <c r="T14" s="146"/>
    </row>
    <row r="15" spans="1:254" s="14360" customFormat="1" ht="10.5" customHeight="1">
      <c r="B15" s="732"/>
      <c r="D15" s="105"/>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4427" hidden="1"/>
    <col min="2" max="2" width="9.140625" style="14419" hidden="1"/>
    <col min="3" max="3" width="3.7109375" style="14427" hidden="1" customWidth="1"/>
    <col min="4" max="4" width="3.85546875" style="14408" customWidth="1"/>
    <col min="5" max="5" width="6.28515625" style="14427" customWidth="1"/>
    <col min="6" max="6" width="27.28515625" style="14427" customWidth="1"/>
    <col min="7" max="7" width="16.7109375" style="14427" customWidth="1"/>
    <col min="8" max="8" width="12.7109375" style="14427" customWidth="1"/>
    <col min="9" max="9" width="32.140625" style="14427" customWidth="1"/>
    <col min="10" max="11" width="41.85546875" style="14427" customWidth="1"/>
    <col min="12" max="12" width="89.5703125" style="14427" customWidth="1"/>
    <col min="13" max="13" width="3.7109375" style="15908" customWidth="1"/>
    <col min="14" max="16" width="9.140625" style="15908"/>
    <col min="17" max="17" width="25.7109375" style="14366" customWidth="1"/>
    <col min="18" max="18" width="14.42578125" style="15908" customWidth="1"/>
    <col min="19" max="22" width="9.140625" style="14367"/>
    <col min="23" max="256" width="9.140625" style="14427"/>
  </cols>
  <sheetData>
    <row r="1" spans="1:256" ht="14.25" hidden="1" customHeight="1"/>
    <row r="2" spans="1:256" s="14359" customFormat="1" ht="22.5" hidden="1" customHeight="1">
      <c r="A2" s="729"/>
      <c r="B2" s="1041">
        <v>1</v>
      </c>
      <c r="C2" s="1041"/>
      <c r="D2" s="1786" t="s">
        <v>103</v>
      </c>
      <c r="E2" s="1749"/>
      <c r="F2" s="1752" t="str">
        <f>IF(ROIV_INFO_NAME="","",ROIV_INFO_NAME)</f>
        <v>АО "Мурманэнергосбыт"</v>
      </c>
      <c r="G2" s="1777" t="s">
        <v>24</v>
      </c>
      <c r="H2" s="1776"/>
      <c r="I2" s="1408"/>
      <c r="J2" s="716"/>
      <c r="K2" s="716"/>
      <c r="L2" s="149"/>
      <c r="M2" s="1405"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4421" customFormat="1" ht="5.25" hidden="1" customHeight="1">
      <c r="A3" s="403"/>
      <c r="D3" s="401"/>
      <c r="F3" s="166" t="s">
        <v>82</v>
      </c>
      <c r="G3" s="1597" t="s">
        <v>83</v>
      </c>
      <c r="H3" s="401"/>
      <c r="I3" s="401"/>
      <c r="J3" s="401"/>
      <c r="K3" s="401"/>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4358" customFormat="1" ht="14.25" customHeight="1">
      <c r="A4" s="1036"/>
      <c r="B4" s="1041"/>
      <c r="C4" s="1036"/>
      <c r="D4" s="1366"/>
      <c r="E4" s="416"/>
      <c r="F4" s="416"/>
      <c r="G4" s="416"/>
      <c r="H4" s="416"/>
      <c r="I4" s="416"/>
      <c r="J4" s="416"/>
      <c r="K4" s="416"/>
      <c r="L4" s="89"/>
      <c r="M4" s="166"/>
      <c r="N4" s="407"/>
      <c r="O4" s="407"/>
      <c r="P4" s="407"/>
      <c r="Q4" s="147"/>
      <c r="R4" s="407"/>
      <c r="S4" s="146"/>
      <c r="T4" s="146"/>
      <c r="U4" s="146"/>
      <c r="V4" s="146"/>
    </row>
    <row r="5" spans="1:256" s="14358" customFormat="1" ht="25.5" customHeight="1">
      <c r="A5" s="1036"/>
      <c r="B5" s="1041"/>
      <c r="C5" s="1036"/>
      <c r="D5" s="1366"/>
      <c r="E5" s="159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5967"/>
      <c r="G5" s="15967"/>
      <c r="H5" s="15967"/>
      <c r="I5" s="15967"/>
      <c r="J5" s="15967"/>
      <c r="K5" s="15967"/>
      <c r="L5" s="492"/>
      <c r="M5" s="166"/>
      <c r="N5" s="407"/>
      <c r="O5" s="407"/>
      <c r="P5" s="407"/>
      <c r="Q5" s="147"/>
      <c r="R5" s="407"/>
      <c r="S5" s="146"/>
      <c r="T5" s="146"/>
      <c r="U5" s="146"/>
      <c r="V5" s="146"/>
    </row>
    <row r="6" spans="1:256" s="14358" customFormat="1" ht="14.25" customHeight="1">
      <c r="A6" s="1036"/>
      <c r="B6" s="1041"/>
      <c r="C6" s="1036"/>
      <c r="D6" s="1366"/>
      <c r="E6" s="416"/>
      <c r="F6" s="90"/>
      <c r="G6" s="90"/>
      <c r="H6" s="90"/>
      <c r="I6" s="90"/>
      <c r="J6" s="90"/>
      <c r="K6" s="90"/>
      <c r="L6" s="91"/>
      <c r="M6" s="407"/>
      <c r="N6" s="407"/>
      <c r="O6" s="407"/>
      <c r="P6" s="407"/>
      <c r="Q6" s="147"/>
      <c r="R6" s="407"/>
      <c r="S6" s="146"/>
      <c r="T6" s="146"/>
      <c r="U6" s="146"/>
      <c r="V6" s="146"/>
    </row>
    <row r="7" spans="1:256" s="14358" customFormat="1" ht="14.25" customHeight="1">
      <c r="A7" s="1036"/>
      <c r="B7" s="1041"/>
      <c r="C7" s="1036"/>
      <c r="D7" s="1366"/>
      <c r="E7" s="15963" t="s">
        <v>437</v>
      </c>
      <c r="F7" s="15968"/>
      <c r="G7" s="15968"/>
      <c r="H7" s="15968"/>
      <c r="I7" s="15968"/>
      <c r="J7" s="15968"/>
      <c r="K7" s="15968"/>
      <c r="L7" s="16286" t="s">
        <v>438</v>
      </c>
      <c r="M7" s="407"/>
      <c r="N7" s="407"/>
      <c r="O7" s="407"/>
      <c r="P7" s="407"/>
      <c r="Q7" s="147"/>
      <c r="R7" s="407"/>
      <c r="S7" s="146"/>
      <c r="T7" s="146"/>
      <c r="U7" s="146"/>
      <c r="V7" s="146"/>
    </row>
    <row r="8" spans="1:256" s="14358" customFormat="1" ht="64.5" customHeight="1">
      <c r="A8" s="1036"/>
      <c r="B8" s="1041"/>
      <c r="C8" s="1036"/>
      <c r="D8" s="1366"/>
      <c r="E8" s="16290" t="s">
        <v>87</v>
      </c>
      <c r="F8" s="162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62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6293"/>
      <c r="I8" s="16294"/>
      <c r="J8" s="162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62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6288"/>
      <c r="M8" s="407"/>
      <c r="N8" s="407"/>
      <c r="O8" s="407"/>
      <c r="P8" s="407"/>
      <c r="Q8" s="147"/>
      <c r="R8" s="407"/>
      <c r="S8" s="146"/>
      <c r="T8" s="146"/>
      <c r="U8" s="146"/>
      <c r="V8" s="146"/>
    </row>
    <row r="9" spans="1:256" s="14358" customFormat="1" ht="27.75" customHeight="1">
      <c r="A9" s="1036"/>
      <c r="B9" s="1041"/>
      <c r="C9" s="1036"/>
      <c r="D9" s="1366"/>
      <c r="E9" s="16291"/>
      <c r="F9" s="16291"/>
      <c r="G9" s="1407" t="s">
        <v>1920</v>
      </c>
      <c r="H9" s="1407" t="s">
        <v>1921</v>
      </c>
      <c r="I9" s="1407" t="s">
        <v>1922</v>
      </c>
      <c r="J9" s="16291"/>
      <c r="K9" s="16291"/>
      <c r="L9" s="16287"/>
      <c r="M9" s="407"/>
      <c r="N9" s="407"/>
      <c r="O9" s="407"/>
      <c r="P9" s="407"/>
      <c r="Q9" s="147"/>
      <c r="R9" s="407"/>
      <c r="S9" s="146"/>
      <c r="T9" s="146"/>
      <c r="U9" s="146"/>
      <c r="V9" s="146"/>
    </row>
    <row r="10" spans="1:256" s="14359" customFormat="1" ht="22.5" customHeight="1">
      <c r="A10" s="15966"/>
      <c r="B10" s="1041">
        <v>1</v>
      </c>
      <c r="C10" s="1041"/>
      <c r="D10" s="698"/>
      <c r="E10" s="696">
        <v>1</v>
      </c>
      <c r="F10" s="1409" t="str">
        <f>IF(ROIV_INFO_NAME="","",ROIV_INFO_NAME)</f>
        <v>АО "Мурманэнергосбыт"</v>
      </c>
      <c r="G10" s="1594" t="s">
        <v>24</v>
      </c>
      <c r="H10" s="1776"/>
      <c r="I10" s="1404"/>
      <c r="J10" s="716"/>
      <c r="K10" s="716"/>
      <c r="L10" s="162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5"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4359" customFormat="1" ht="15" customHeight="1">
      <c r="A11" s="15966"/>
      <c r="B11" s="1041"/>
      <c r="C11" s="327"/>
      <c r="D11" s="699"/>
      <c r="E11" s="335"/>
      <c r="F11" s="331" t="s">
        <v>1923</v>
      </c>
      <c r="G11" s="109"/>
      <c r="H11" s="109"/>
      <c r="I11" s="109"/>
      <c r="J11" s="109"/>
      <c r="K11" s="338"/>
      <c r="L11" s="16289"/>
      <c r="M11" s="1406"/>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4358" customFormat="1" ht="21" customHeight="1">
      <c r="A12" s="1036"/>
      <c r="B12" s="1041"/>
      <c r="C12" s="1036"/>
      <c r="D12" s="363"/>
      <c r="E12" s="103"/>
      <c r="F12" s="103"/>
      <c r="G12" s="103"/>
      <c r="H12" s="103"/>
      <c r="I12" s="103"/>
      <c r="J12" s="103"/>
      <c r="K12" s="103"/>
      <c r="L12" s="103"/>
      <c r="M12" s="407"/>
      <c r="N12" s="407"/>
      <c r="O12" s="407"/>
      <c r="P12" s="407"/>
      <c r="Q12" s="147"/>
      <c r="R12" s="407"/>
      <c r="S12" s="146"/>
      <c r="T12" s="146"/>
      <c r="U12" s="146"/>
      <c r="V12" s="146"/>
    </row>
    <row r="13" spans="1:256" s="14358"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4358"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4433" hidden="1"/>
    <col min="2" max="2" width="9.140625" style="14430" hidden="1"/>
    <col min="3" max="3" width="3.7109375" style="14433" hidden="1" customWidth="1"/>
    <col min="4" max="4" width="3.85546875" style="15910" customWidth="1"/>
    <col min="5" max="5" width="6.28515625" style="14433" customWidth="1"/>
    <col min="6" max="6" width="27.28515625" style="14433" customWidth="1"/>
    <col min="7" max="7" width="16.7109375" style="14433" customWidth="1"/>
    <col min="8" max="8" width="12.7109375" style="14433" customWidth="1"/>
    <col min="9" max="9" width="32.140625" style="14433" customWidth="1"/>
    <col min="10" max="11" width="41.85546875" style="14433" customWidth="1"/>
    <col min="12" max="12" width="89.5703125" style="14433" customWidth="1"/>
    <col min="13" max="13" width="3.7109375" style="15911" customWidth="1"/>
    <col min="14" max="16" width="9.140625" style="15911"/>
    <col min="17" max="17" width="25.7109375" style="15911" customWidth="1"/>
    <col min="18" max="18" width="14.42578125" style="15911" customWidth="1"/>
    <col min="19" max="22" width="9.140625" style="14367"/>
    <col min="23" max="256" width="9.140625" style="14433"/>
  </cols>
  <sheetData>
    <row r="1" spans="1:256" ht="14.25" hidden="1" customHeight="1"/>
    <row r="2" spans="1:256" s="15909" customFormat="1" ht="22.5" hidden="1" customHeight="1">
      <c r="A2" s="729"/>
      <c r="B2" s="1243">
        <v>1</v>
      </c>
      <c r="C2" s="1243"/>
      <c r="D2" s="1787" t="s">
        <v>103</v>
      </c>
      <c r="E2" s="1764"/>
      <c r="F2" s="1766" t="str">
        <f>IF(ROIV_INFO_NAME="","",ROIV_INFO_NAME)</f>
        <v>АО "Мурманэнергосбыт"</v>
      </c>
      <c r="G2" s="1594" t="s">
        <v>24</v>
      </c>
      <c r="H2" s="1776"/>
      <c r="I2" s="1408"/>
      <c r="J2" s="716"/>
      <c r="K2" s="716"/>
      <c r="L2" s="149"/>
      <c r="M2" s="1405" t="e">
        <f ca="1">MERGEVALUE(F2)</f>
        <v>#NAME?</v>
      </c>
      <c r="N2" s="1499"/>
      <c r="O2" s="1499"/>
      <c r="P2" s="1487" t="str">
        <f t="array" ref="P2">IF(ISERROR(MATCH(MID(Q2,1,250),MID(note_ter,1,250),0)),"n","y")</f>
        <v>n</v>
      </c>
      <c r="Q2" s="1499"/>
      <c r="R2" s="1487" t="str">
        <f>G2&amp;"("&amp;L2&amp;")"</f>
        <v>()</v>
      </c>
      <c r="S2" s="1243"/>
      <c r="T2" s="1243"/>
      <c r="U2" s="334"/>
      <c r="V2" s="1243"/>
      <c r="W2" s="1243"/>
      <c r="X2" s="1243"/>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4432" customFormat="1" ht="5.25" hidden="1" customHeight="1">
      <c r="A3" s="1504"/>
      <c r="D3" s="1753"/>
      <c r="F3" s="167" t="s">
        <v>82</v>
      </c>
      <c r="G3" s="1597" t="s">
        <v>83</v>
      </c>
      <c r="H3" s="1753"/>
      <c r="I3" s="1753"/>
      <c r="J3" s="1753"/>
      <c r="K3" s="1753"/>
      <c r="L3" s="148" t="s">
        <v>84</v>
      </c>
      <c r="M3" s="167" t="s">
        <v>82</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4394" customFormat="1" ht="14.25" customHeight="1">
      <c r="A4" s="1494"/>
      <c r="B4" s="1243"/>
      <c r="C4" s="1494"/>
      <c r="D4" s="1386"/>
      <c r="E4" s="1498"/>
      <c r="F4" s="1498"/>
      <c r="G4" s="1498"/>
      <c r="H4" s="1498"/>
      <c r="I4" s="1498"/>
      <c r="J4" s="1498"/>
      <c r="K4" s="1498"/>
      <c r="L4" s="1755"/>
      <c r="M4" s="167"/>
      <c r="N4" s="1487"/>
      <c r="O4" s="1487"/>
      <c r="P4" s="1487"/>
      <c r="Q4" s="1487"/>
      <c r="R4" s="1487"/>
      <c r="S4" s="146"/>
      <c r="T4" s="146"/>
      <c r="U4" s="146"/>
      <c r="V4" s="146"/>
    </row>
    <row r="5" spans="1:256" s="14394" customFormat="1" ht="25.5" customHeight="1">
      <c r="A5" s="1494"/>
      <c r="B5" s="1243"/>
      <c r="C5" s="1494"/>
      <c r="D5" s="1386"/>
      <c r="E5" s="159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5967"/>
      <c r="G5" s="15967"/>
      <c r="H5" s="15967"/>
      <c r="I5" s="15967"/>
      <c r="J5" s="15967"/>
      <c r="K5" s="15967"/>
      <c r="L5" s="1498"/>
      <c r="M5" s="167"/>
      <c r="N5" s="1487"/>
      <c r="O5" s="1487"/>
      <c r="P5" s="1487"/>
      <c r="Q5" s="1487"/>
      <c r="R5" s="1487"/>
      <c r="S5" s="146"/>
      <c r="T5" s="146"/>
      <c r="U5" s="146"/>
      <c r="V5" s="146"/>
    </row>
    <row r="6" spans="1:256" s="14394" customFormat="1" ht="14.25" customHeight="1">
      <c r="A6" s="1494"/>
      <c r="B6" s="1243"/>
      <c r="C6" s="1494"/>
      <c r="D6" s="1386"/>
      <c r="E6" s="1498"/>
      <c r="F6" s="518"/>
      <c r="G6" s="518"/>
      <c r="H6" s="518"/>
      <c r="I6" s="518"/>
      <c r="J6" s="518"/>
      <c r="K6" s="518"/>
      <c r="L6" s="1134"/>
      <c r="M6" s="1487"/>
      <c r="N6" s="1487"/>
      <c r="O6" s="1487"/>
      <c r="P6" s="1487"/>
      <c r="Q6" s="1487"/>
      <c r="R6" s="1487"/>
      <c r="S6" s="146"/>
      <c r="T6" s="146"/>
      <c r="U6" s="146"/>
      <c r="V6" s="146"/>
    </row>
    <row r="7" spans="1:256" s="14394" customFormat="1" ht="14.25" customHeight="1">
      <c r="A7" s="1494"/>
      <c r="B7" s="1243"/>
      <c r="C7" s="1494"/>
      <c r="D7" s="1386"/>
      <c r="E7" s="15963" t="s">
        <v>437</v>
      </c>
      <c r="F7" s="15968"/>
      <c r="G7" s="15968"/>
      <c r="H7" s="15968"/>
      <c r="I7" s="15968"/>
      <c r="J7" s="15968"/>
      <c r="K7" s="15968"/>
      <c r="L7" s="16286" t="s">
        <v>438</v>
      </c>
      <c r="M7" s="1487"/>
      <c r="N7" s="1487"/>
      <c r="O7" s="1487"/>
      <c r="P7" s="1487"/>
      <c r="Q7" s="1487"/>
      <c r="R7" s="1487"/>
      <c r="S7" s="146"/>
      <c r="T7" s="146"/>
      <c r="U7" s="146"/>
      <c r="V7" s="146"/>
    </row>
    <row r="8" spans="1:256" s="14394" customFormat="1" ht="64.5" customHeight="1">
      <c r="A8" s="1494"/>
      <c r="B8" s="1243"/>
      <c r="C8" s="1494"/>
      <c r="D8" s="1386"/>
      <c r="E8" s="16290" t="s">
        <v>87</v>
      </c>
      <c r="F8" s="16290" t="s">
        <v>1924</v>
      </c>
      <c r="G8" s="16292" t="s">
        <v>1925</v>
      </c>
      <c r="H8" s="16293"/>
      <c r="I8" s="16294"/>
      <c r="J8" s="16290" t="s">
        <v>1926</v>
      </c>
      <c r="K8" s="162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6288"/>
      <c r="M8" s="1487"/>
      <c r="N8" s="1487"/>
      <c r="O8" s="1487"/>
      <c r="P8" s="1487"/>
      <c r="Q8" s="1487"/>
      <c r="R8" s="1487"/>
      <c r="S8" s="146"/>
      <c r="T8" s="146"/>
      <c r="U8" s="146"/>
      <c r="V8" s="146"/>
    </row>
    <row r="9" spans="1:256" s="14394" customFormat="1" ht="27.75" customHeight="1">
      <c r="A9" s="1494"/>
      <c r="B9" s="1243"/>
      <c r="C9" s="1494"/>
      <c r="D9" s="1386"/>
      <c r="E9" s="16291"/>
      <c r="F9" s="16291"/>
      <c r="G9" s="1754" t="s">
        <v>1920</v>
      </c>
      <c r="H9" s="1754" t="s">
        <v>1921</v>
      </c>
      <c r="I9" s="1754" t="s">
        <v>1922</v>
      </c>
      <c r="J9" s="16291"/>
      <c r="K9" s="16291"/>
      <c r="L9" s="16287"/>
      <c r="M9" s="1487"/>
      <c r="N9" s="1487"/>
      <c r="O9" s="1487"/>
      <c r="P9" s="1487"/>
      <c r="Q9" s="1487"/>
      <c r="R9" s="1487"/>
      <c r="S9" s="146"/>
      <c r="T9" s="146"/>
      <c r="U9" s="146"/>
      <c r="V9" s="146"/>
    </row>
    <row r="10" spans="1:256" s="15909" customFormat="1" ht="0.75" customHeight="1">
      <c r="A10" s="15966"/>
      <c r="B10" s="1243">
        <v>1</v>
      </c>
      <c r="C10" s="1243"/>
      <c r="D10" s="698"/>
      <c r="E10" s="693">
        <v>0</v>
      </c>
      <c r="F10" s="1751" t="str">
        <f>IF(ROIV_INFO_NAME="","",ROIV_INFO_NAME)</f>
        <v>АО "Мурманэнергосбыт"</v>
      </c>
      <c r="G10" s="1595" t="s">
        <v>24</v>
      </c>
      <c r="H10" s="1763"/>
      <c r="I10" s="1763"/>
      <c r="J10" s="426"/>
      <c r="K10" s="426"/>
      <c r="L10" s="162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5" t="e">
        <f ca="1">MERGEVALUE(F10)</f>
        <v>#NAME?</v>
      </c>
      <c r="N10" s="1499"/>
      <c r="O10" s="1499"/>
      <c r="P10" s="1487" t="str">
        <f t="array" ref="P10">IF(ISERROR(MATCH(MID(Q10,1,250),MID(note_ter,1,250),0)),"n","y")</f>
        <v>n</v>
      </c>
      <c r="Q10" s="1499"/>
      <c r="R10" s="14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3"/>
      <c r="T10" s="1243"/>
      <c r="U10" s="334"/>
      <c r="V10" s="1243"/>
      <c r="W10" s="1243"/>
      <c r="X10" s="1243"/>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15909" customFormat="1" ht="15" customHeight="1">
      <c r="A11" s="15966"/>
      <c r="B11" s="1243"/>
      <c r="C11" s="327"/>
      <c r="D11" s="699"/>
      <c r="E11" s="335"/>
      <c r="F11" s="553" t="s">
        <v>1923</v>
      </c>
      <c r="G11" s="109"/>
      <c r="H11" s="109"/>
      <c r="I11" s="109"/>
      <c r="J11" s="109"/>
      <c r="K11" s="338"/>
      <c r="L11" s="16289"/>
      <c r="M11" s="1406"/>
      <c r="N11" s="1499"/>
      <c r="O11" s="1499"/>
      <c r="P11" s="1499"/>
      <c r="Q11" s="1487"/>
      <c r="R11" s="1499"/>
      <c r="S11" s="1243"/>
      <c r="T11" s="1243"/>
      <c r="U11" s="334"/>
      <c r="V11" s="1243"/>
      <c r="W11" s="1243"/>
      <c r="X11" s="1243"/>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4394" customFormat="1" ht="21" customHeight="1">
      <c r="A12" s="1494"/>
      <c r="B12" s="1243"/>
      <c r="C12" s="1494"/>
      <c r="D12" s="1496"/>
      <c r="E12" s="103"/>
      <c r="F12" s="103"/>
      <c r="G12" s="103"/>
      <c r="H12" s="103"/>
      <c r="I12" s="103"/>
      <c r="J12" s="103"/>
      <c r="K12" s="103"/>
      <c r="L12" s="103"/>
      <c r="M12" s="1487"/>
      <c r="N12" s="1487"/>
      <c r="O12" s="1487"/>
      <c r="P12" s="1487"/>
      <c r="Q12" s="1487"/>
      <c r="R12" s="1487"/>
      <c r="S12" s="146"/>
      <c r="T12" s="146"/>
      <c r="U12" s="146"/>
      <c r="V12" s="146"/>
    </row>
    <row r="13" spans="1:256" s="14394" customFormat="1" ht="14.25" customHeight="1">
      <c r="A13" s="1494"/>
      <c r="B13" s="1243"/>
      <c r="C13" s="1494"/>
      <c r="D13" s="1496"/>
      <c r="E13" s="1494"/>
      <c r="F13" s="1494"/>
      <c r="G13" s="1494"/>
      <c r="H13" s="1494"/>
      <c r="I13" s="1494"/>
      <c r="J13" s="1494"/>
      <c r="K13" s="1494"/>
      <c r="L13" s="1494"/>
      <c r="M13" s="1487"/>
      <c r="N13" s="1487"/>
      <c r="O13" s="1487"/>
      <c r="P13" s="1487"/>
      <c r="Q13" s="1487"/>
      <c r="R13" s="1487"/>
      <c r="S13" s="146"/>
      <c r="T13" s="146"/>
      <c r="U13" s="146"/>
      <c r="V13" s="146"/>
    </row>
    <row r="14" spans="1:256" s="14394" customFormat="1" ht="0.75" customHeight="1">
      <c r="A14" s="1494"/>
      <c r="B14" s="1243"/>
      <c r="C14" s="1494"/>
      <c r="D14" s="1496"/>
      <c r="E14" s="1494"/>
      <c r="F14" s="1494"/>
      <c r="G14" s="1494"/>
      <c r="H14" s="1494"/>
      <c r="I14" s="1494"/>
      <c r="J14" s="1494"/>
      <c r="K14" s="1494"/>
      <c r="L14" s="1494"/>
      <c r="M14" s="1487"/>
      <c r="N14" s="1487"/>
      <c r="O14" s="1487"/>
      <c r="P14" s="1487"/>
      <c r="Q14" s="1487"/>
      <c r="R14" s="1487"/>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4427" hidden="1"/>
    <col min="2" max="2" width="9.140625" style="14419" hidden="1"/>
    <col min="3" max="3" width="3.7109375" style="14427" hidden="1" customWidth="1"/>
    <col min="4" max="4" width="3.85546875" style="14408" customWidth="1"/>
    <col min="5" max="5" width="6.28515625" style="14427" customWidth="1"/>
    <col min="6" max="6" width="27.28515625" style="14427" customWidth="1"/>
    <col min="7" max="7" width="29.28515625" style="14427" customWidth="1"/>
    <col min="8" max="8" width="25.42578125" style="14427" customWidth="1"/>
    <col min="9" max="9" width="5.5703125" style="14427" customWidth="1"/>
    <col min="10" max="10" width="6.5703125" style="14427" customWidth="1"/>
    <col min="11" max="11" width="41.85546875" style="14427" customWidth="1"/>
    <col min="12" max="12" width="42.42578125" style="14427" customWidth="1"/>
    <col min="13" max="13" width="41.5703125" style="14427" customWidth="1"/>
    <col min="14" max="14" width="89.5703125" style="14433" customWidth="1"/>
    <col min="15" max="15" width="3.7109375" style="15908" customWidth="1"/>
    <col min="16" max="16" width="9.140625" style="15908"/>
  </cols>
  <sheetData>
    <row r="1" spans="1:16" ht="14.25" hidden="1" customHeight="1"/>
    <row r="2" spans="1:16" s="14359" customFormat="1" ht="22.5" hidden="1" customHeight="1">
      <c r="A2" s="403"/>
      <c r="B2" s="1041">
        <v>1</v>
      </c>
      <c r="C2" s="1041"/>
      <c r="D2" s="1788" t="s">
        <v>103</v>
      </c>
      <c r="E2" s="15992">
        <v>1</v>
      </c>
      <c r="F2" s="16295" t="str">
        <f>IF(region_name="","",region_name)</f>
        <v>Мурманская область</v>
      </c>
      <c r="G2" s="16296"/>
      <c r="H2" s="16297"/>
      <c r="I2" s="382"/>
      <c r="J2" s="1770">
        <v>1</v>
      </c>
      <c r="K2" s="1772"/>
      <c r="L2" s="1772"/>
      <c r="M2" s="1772"/>
      <c r="N2" s="399"/>
      <c r="O2" s="1405"/>
      <c r="P2" s="418"/>
    </row>
    <row r="3" spans="1:16" s="14359" customFormat="1" ht="22.5" hidden="1" customHeight="1">
      <c r="A3" s="729"/>
      <c r="B3" s="1041"/>
      <c r="C3" s="1041"/>
      <c r="D3" s="699"/>
      <c r="E3" s="15992"/>
      <c r="F3" s="16295"/>
      <c r="G3" s="16296"/>
      <c r="H3" s="16298"/>
      <c r="I3" s="335"/>
      <c r="J3" s="1371"/>
      <c r="K3" s="1371" t="s">
        <v>1927</v>
      </c>
      <c r="L3" s="1413"/>
      <c r="M3" s="1780"/>
      <c r="N3" s="1773"/>
      <c r="O3" s="1405"/>
      <c r="P3" s="418"/>
    </row>
    <row r="4" spans="1:16" s="14421" customFormat="1" ht="5.25" hidden="1" customHeight="1">
      <c r="A4" s="403"/>
      <c r="D4" s="401"/>
      <c r="F4" s="166" t="s">
        <v>82</v>
      </c>
      <c r="G4" s="401" t="s">
        <v>83</v>
      </c>
      <c r="H4" s="401"/>
      <c r="I4" s="1783"/>
      <c r="J4" s="1414"/>
      <c r="K4" s="1771"/>
      <c r="L4" s="1771"/>
      <c r="M4" s="1771"/>
      <c r="N4" s="1767"/>
      <c r="O4" s="166" t="s">
        <v>82</v>
      </c>
      <c r="P4" s="166"/>
    </row>
    <row r="5" spans="1:16" s="15909" customFormat="1" ht="22.5" hidden="1" customHeight="1">
      <c r="A5" s="1504"/>
      <c r="B5" s="1243">
        <v>1</v>
      </c>
      <c r="C5" s="1243"/>
      <c r="D5" s="699"/>
      <c r="E5" s="1773"/>
      <c r="F5" s="1773"/>
      <c r="G5" s="1773"/>
      <c r="H5" s="1784"/>
      <c r="I5" s="1789" t="s">
        <v>103</v>
      </c>
      <c r="J5" s="1782">
        <v>1</v>
      </c>
      <c r="K5" s="1772"/>
      <c r="L5" s="1772"/>
      <c r="M5" s="1772"/>
      <c r="N5" s="399"/>
      <c r="O5" s="1405"/>
      <c r="P5" s="1499"/>
    </row>
    <row r="6" spans="1:16" s="14358" customFormat="1" ht="14.25" customHeight="1">
      <c r="A6" s="1036"/>
      <c r="B6" s="1041"/>
      <c r="C6" s="1036"/>
      <c r="D6" s="1366"/>
      <c r="E6" s="416"/>
      <c r="F6" s="416"/>
      <c r="G6" s="416"/>
      <c r="H6" s="416"/>
      <c r="I6" s="416"/>
      <c r="J6" s="416"/>
      <c r="K6" s="416"/>
      <c r="L6" s="416"/>
      <c r="M6" s="416"/>
      <c r="N6" s="1498"/>
      <c r="O6" s="166"/>
      <c r="P6" s="407"/>
    </row>
    <row r="7" spans="1:16" s="14358" customFormat="1" ht="25.5" customHeight="1">
      <c r="A7" s="1036"/>
      <c r="B7" s="1041"/>
      <c r="C7" s="1036"/>
      <c r="D7" s="1366"/>
      <c r="E7" s="163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6303"/>
      <c r="G7" s="16303"/>
      <c r="H7" s="16303"/>
      <c r="I7" s="16303"/>
      <c r="J7" s="16303"/>
      <c r="K7" s="16303"/>
      <c r="L7" s="16303"/>
      <c r="M7" s="16303"/>
      <c r="N7" s="1134"/>
      <c r="O7" s="166"/>
      <c r="P7" s="407"/>
    </row>
    <row r="8" spans="1:16" s="14358" customFormat="1" ht="14.25" customHeight="1">
      <c r="A8" s="1036"/>
      <c r="B8" s="1041"/>
      <c r="C8" s="1036"/>
      <c r="D8" s="1366"/>
      <c r="E8" s="416"/>
      <c r="F8" s="90"/>
      <c r="G8" s="90"/>
      <c r="H8" s="90"/>
      <c r="I8" s="90"/>
      <c r="J8" s="90"/>
      <c r="K8" s="90"/>
      <c r="L8" s="90"/>
      <c r="M8" s="90"/>
      <c r="N8" s="518"/>
      <c r="O8" s="407"/>
      <c r="P8" s="407"/>
    </row>
    <row r="9" spans="1:16" s="15912" customFormat="1" ht="14.25" hidden="1" customHeight="1">
      <c r="A9" s="1340"/>
      <c r="B9" s="1349"/>
      <c r="C9" s="1340"/>
      <c r="D9" s="1366"/>
      <c r="E9" s="1774"/>
      <c r="F9" s="1774"/>
      <c r="G9" s="1774"/>
      <c r="H9" s="1774"/>
      <c r="I9" s="16306"/>
      <c r="J9" s="16306"/>
      <c r="K9" s="16306"/>
      <c r="L9" s="1774"/>
      <c r="M9" s="1775"/>
      <c r="O9" s="1415"/>
      <c r="P9" s="1415"/>
    </row>
    <row r="10" spans="1:16" s="14358" customFormat="1" ht="14.25" customHeight="1">
      <c r="A10" s="1036"/>
      <c r="B10" s="1041"/>
      <c r="C10" s="1036"/>
      <c r="D10" s="1366"/>
      <c r="E10" s="15992" t="s">
        <v>437</v>
      </c>
      <c r="F10" s="15992"/>
      <c r="G10" s="15992"/>
      <c r="H10" s="15992"/>
      <c r="I10" s="15992"/>
      <c r="J10" s="15992"/>
      <c r="K10" s="15992"/>
      <c r="L10" s="15992"/>
      <c r="M10" s="15963"/>
      <c r="N10" s="16290" t="s">
        <v>438</v>
      </c>
      <c r="O10" s="407"/>
      <c r="P10" s="407"/>
    </row>
    <row r="11" spans="1:16" s="14394" customFormat="1" ht="42" customHeight="1">
      <c r="A11" s="1494"/>
      <c r="B11" s="1243"/>
      <c r="C11" s="1494"/>
      <c r="D11" s="1386"/>
      <c r="E11" s="16305" t="s">
        <v>87</v>
      </c>
      <c r="F11" s="16305" t="s">
        <v>441</v>
      </c>
      <c r="G11" s="16305" t="s">
        <v>1928</v>
      </c>
      <c r="H11" s="16305"/>
      <c r="I11" s="16305" t="s">
        <v>1929</v>
      </c>
      <c r="J11" s="16305"/>
      <c r="K11" s="16305"/>
      <c r="L11" s="16305" t="s">
        <v>1930</v>
      </c>
      <c r="M11" s="16292" t="s">
        <v>1931</v>
      </c>
      <c r="N11" s="16304"/>
      <c r="O11" s="1487"/>
      <c r="P11" s="1487"/>
    </row>
    <row r="12" spans="1:16" s="14358" customFormat="1" ht="27.75" customHeight="1">
      <c r="A12" s="1036"/>
      <c r="B12" s="1041"/>
      <c r="C12" s="1036"/>
      <c r="D12" s="1366"/>
      <c r="E12" s="16290"/>
      <c r="F12" s="16305"/>
      <c r="G12" s="1769" t="s">
        <v>1932</v>
      </c>
      <c r="H12" s="1769" t="s">
        <v>445</v>
      </c>
      <c r="I12" s="16305"/>
      <c r="J12" s="16305"/>
      <c r="K12" s="16305"/>
      <c r="L12" s="16305"/>
      <c r="M12" s="16292"/>
      <c r="N12" s="16291"/>
      <c r="O12" s="407"/>
      <c r="P12" s="407"/>
    </row>
    <row r="13" spans="1:16" s="14359" customFormat="1" ht="22.5" customHeight="1">
      <c r="A13" s="15966">
        <v>26379339</v>
      </c>
      <c r="B13" s="1041">
        <v>1</v>
      </c>
      <c r="C13" s="1041"/>
      <c r="D13" s="699"/>
      <c r="E13" s="15992">
        <v>1</v>
      </c>
      <c r="F13" s="16299" t="str">
        <f>IF(region_name="","",region_name)</f>
        <v>Мурманская область</v>
      </c>
      <c r="G13" s="16300"/>
      <c r="H13" s="16307"/>
      <c r="I13" s="382"/>
      <c r="J13" s="1765">
        <v>1</v>
      </c>
      <c r="K13" s="1778"/>
      <c r="L13" s="1779"/>
      <c r="M13" s="1779"/>
      <c r="N13" s="16301" t="s">
        <v>1933</v>
      </c>
      <c r="O13" s="1405"/>
      <c r="P13" s="418"/>
    </row>
    <row r="14" spans="1:16" s="14359" customFormat="1" ht="22.5" customHeight="1">
      <c r="A14" s="15966"/>
      <c r="B14" s="1041"/>
      <c r="C14" s="1041"/>
      <c r="D14" s="699"/>
      <c r="E14" s="15992"/>
      <c r="F14" s="16299"/>
      <c r="G14" s="16300"/>
      <c r="H14" s="16308"/>
      <c r="I14" s="335"/>
      <c r="J14" s="1371"/>
      <c r="K14" s="1371" t="s">
        <v>1927</v>
      </c>
      <c r="L14" s="1413"/>
      <c r="M14" s="1413"/>
      <c r="N14" s="16302"/>
      <c r="O14" s="1405"/>
      <c r="P14" s="418"/>
    </row>
    <row r="15" spans="1:16" s="14359" customFormat="1" ht="22.5" customHeight="1">
      <c r="A15" s="15966"/>
      <c r="B15" s="1041"/>
      <c r="C15" s="327"/>
      <c r="D15" s="699"/>
      <c r="E15" s="335"/>
      <c r="F15" s="1371" t="s">
        <v>1919</v>
      </c>
      <c r="G15" s="1412"/>
      <c r="H15" s="1412"/>
      <c r="I15" s="109"/>
      <c r="J15" s="109"/>
      <c r="K15" s="109"/>
      <c r="L15" s="109"/>
      <c r="M15" s="109"/>
      <c r="N15" s="16302"/>
      <c r="O15" s="1406"/>
      <c r="P15" s="418"/>
    </row>
    <row r="16" spans="1:16" s="14358" customFormat="1" ht="21" customHeight="1">
      <c r="A16" s="1036"/>
      <c r="B16" s="1041"/>
      <c r="C16" s="1036"/>
      <c r="D16" s="363"/>
      <c r="E16" s="103"/>
      <c r="F16" s="103"/>
      <c r="G16" s="103"/>
      <c r="H16" s="103"/>
      <c r="I16" s="103"/>
      <c r="J16" s="103"/>
      <c r="K16" s="103"/>
      <c r="L16" s="103"/>
      <c r="M16" s="416"/>
      <c r="N16" s="1498"/>
      <c r="O16" s="407"/>
      <c r="P16" s="407"/>
    </row>
    <row r="17" spans="1:16" s="14358" customFormat="1" ht="14.25" customHeight="1">
      <c r="A17" s="1036"/>
      <c r="B17" s="1041"/>
      <c r="C17" s="1036"/>
      <c r="D17" s="363"/>
      <c r="E17" s="1036"/>
      <c r="F17" s="1036"/>
      <c r="G17" s="1036"/>
      <c r="H17" s="1036"/>
      <c r="I17" s="1036"/>
      <c r="J17" s="1036"/>
      <c r="K17" s="1036"/>
      <c r="L17" s="1036"/>
      <c r="M17" s="1036"/>
      <c r="N17" s="1494"/>
      <c r="O17" s="407"/>
      <c r="P17" s="407"/>
    </row>
    <row r="18" spans="1:16" s="14358" customFormat="1" ht="0.75" customHeight="1">
      <c r="A18" s="1036"/>
      <c r="B18" s="1041"/>
      <c r="C18" s="1036"/>
      <c r="D18" s="363"/>
      <c r="E18" s="1036"/>
      <c r="F18" s="1036"/>
      <c r="G18" s="1036"/>
      <c r="H18" s="1036"/>
      <c r="I18" s="1036"/>
      <c r="J18" s="1036"/>
      <c r="K18" s="1036"/>
      <c r="L18" s="1036"/>
      <c r="M18" s="1036"/>
      <c r="N18" s="1494"/>
      <c r="O18" s="407"/>
      <c r="P18" s="407"/>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5913" hidden="1"/>
    <col min="2" max="2" width="9.140625" style="15915" hidden="1"/>
    <col min="3" max="3" width="3.7109375" style="15916" customWidth="1"/>
    <col min="4" max="4" width="7" style="15917" customWidth="1"/>
    <col min="5" max="5" width="23.140625" style="15917" customWidth="1"/>
    <col min="6" max="6" width="16" style="15917" customWidth="1"/>
    <col min="7" max="7" width="14.85546875" style="15917" customWidth="1"/>
    <col min="8" max="8" width="47.85546875" style="15917" customWidth="1"/>
    <col min="9" max="9" width="115.7109375" style="15917" customWidth="1"/>
    <col min="10" max="10" width="3.7109375" style="15917" customWidth="1"/>
    <col min="11" max="12" width="9.140625" style="15917"/>
  </cols>
  <sheetData>
    <row r="1" spans="1:12" ht="14.25" hidden="1" customHeight="1"/>
    <row r="2" spans="1:12" ht="14.25" hidden="1" customHeight="1"/>
    <row r="3" spans="1:12" ht="14.25" hidden="1" customHeight="1"/>
    <row r="4" spans="1:12" ht="3" customHeight="1"/>
    <row r="5" spans="1:12" s="14364" customFormat="1" ht="30" customHeight="1">
      <c r="A5" s="47"/>
      <c r="C5" s="26"/>
      <c r="D5" s="15967" t="s">
        <v>1934</v>
      </c>
      <c r="E5" s="15967"/>
      <c r="F5" s="15967"/>
      <c r="G5" s="15967"/>
      <c r="H5" s="15967"/>
      <c r="I5" s="184"/>
    </row>
    <row r="6" spans="1:12" ht="3" hidden="1" customHeight="1">
      <c r="D6" s="51"/>
      <c r="E6" s="51"/>
      <c r="F6" s="51"/>
      <c r="G6" s="51"/>
      <c r="H6" s="51"/>
      <c r="I6" s="51"/>
    </row>
    <row r="7" spans="1:12" s="15913" customFormat="1" ht="14.25" customHeight="1">
      <c r="B7" s="48"/>
      <c r="C7" s="49"/>
      <c r="D7" s="52"/>
      <c r="E7" s="52"/>
      <c r="F7" s="52"/>
      <c r="G7" s="52"/>
      <c r="H7" s="650"/>
      <c r="I7" s="52"/>
      <c r="J7" s="53"/>
    </row>
    <row r="8" spans="1:12" ht="14.25" customHeight="1">
      <c r="D8" s="16084" t="s">
        <v>437</v>
      </c>
      <c r="E8" s="16084"/>
      <c r="F8" s="16084"/>
      <c r="G8" s="16084"/>
      <c r="H8" s="16084"/>
      <c r="I8" s="16084" t="s">
        <v>438</v>
      </c>
    </row>
    <row r="9" spans="1:12" ht="27.75" customHeight="1">
      <c r="D9" s="16084" t="s">
        <v>87</v>
      </c>
      <c r="E9" s="16084" t="s">
        <v>1935</v>
      </c>
      <c r="F9" s="16084"/>
      <c r="G9" s="16084"/>
      <c r="H9" s="16084"/>
      <c r="I9" s="16084"/>
    </row>
    <row r="10" spans="1:12" ht="22.5" customHeight="1">
      <c r="D10" s="16084"/>
      <c r="E10" s="56" t="s">
        <v>1936</v>
      </c>
      <c r="F10" s="56" t="s">
        <v>1937</v>
      </c>
      <c r="G10" s="56" t="s">
        <v>1938</v>
      </c>
      <c r="H10" s="56" t="s">
        <v>527</v>
      </c>
      <c r="I10" s="16084"/>
    </row>
    <row r="11" spans="1:12" ht="12" hidden="1" customHeight="1">
      <c r="D11" s="23" t="s">
        <v>147</v>
      </c>
      <c r="E11" s="23" t="s">
        <v>90</v>
      </c>
      <c r="F11" s="23" t="s">
        <v>117</v>
      </c>
      <c r="G11" s="23" t="s">
        <v>91</v>
      </c>
      <c r="H11" s="23" t="s">
        <v>92</v>
      </c>
      <c r="I11" s="23" t="s">
        <v>132</v>
      </c>
    </row>
    <row r="12" spans="1:12" s="15914" customFormat="1" ht="24.75" customHeight="1">
      <c r="A12" s="71" t="s">
        <v>89</v>
      </c>
      <c r="B12" s="54" t="s">
        <v>24</v>
      </c>
      <c r="C12" s="55"/>
      <c r="D12" s="57" t="s">
        <v>147</v>
      </c>
      <c r="E12" s="296"/>
      <c r="F12" s="296"/>
      <c r="G12" s="1596" t="s">
        <v>24</v>
      </c>
      <c r="H12" s="297"/>
      <c r="I12" s="16032" t="s">
        <v>1939</v>
      </c>
      <c r="K12" s="191"/>
      <c r="L12" s="192"/>
    </row>
    <row r="13" spans="1:12" ht="15" customHeight="1">
      <c r="A13" s="50"/>
      <c r="B13" s="50"/>
      <c r="C13" s="50"/>
      <c r="D13" s="42"/>
      <c r="E13" s="59" t="s">
        <v>602</v>
      </c>
      <c r="F13" s="58"/>
      <c r="G13" s="58"/>
      <c r="H13" s="136"/>
      <c r="I13" s="16034"/>
    </row>
    <row r="14" spans="1:12" ht="3" customHeight="1">
      <c r="A14" s="50"/>
      <c r="B14" s="50"/>
      <c r="C14" s="50"/>
    </row>
    <row r="15" spans="1:12" ht="27.75" customHeight="1">
      <c r="E15" s="16309" t="s">
        <v>1940</v>
      </c>
      <c r="F15" s="16309"/>
      <c r="G15" s="16309"/>
      <c r="H15" s="1630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6"/>
  <sheetViews>
    <sheetView showGridLines="0" topLeftCell="C6" zoomScale="90" workbookViewId="0">
      <selection activeCell="E13" sqref="E13"/>
    </sheetView>
  </sheetViews>
  <sheetFormatPr defaultColWidth="9.140625" defaultRowHeight="14.25" customHeight="1"/>
  <cols>
    <col min="1" max="2" width="9.140625" style="15920" hidden="1"/>
    <col min="3" max="3" width="3.7109375" style="15921" customWidth="1"/>
    <col min="4" max="4" width="6.28515625" style="15920" customWidth="1"/>
    <col min="5" max="5" width="94.85546875" style="15920" customWidth="1"/>
    <col min="6" max="9" width="9.140625" style="15920"/>
  </cols>
  <sheetData>
    <row r="1" spans="1:9" ht="14.25" hidden="1" customHeight="1"/>
    <row r="2" spans="1:9" ht="14.25" hidden="1" customHeight="1"/>
    <row r="3" spans="1:9" ht="14.25" hidden="1" customHeight="1"/>
    <row r="4" spans="1:9" ht="14.25" hidden="1" customHeight="1"/>
    <row r="5" spans="1:9" ht="14.25" hidden="1" customHeight="1"/>
    <row r="6" spans="1:9" ht="3" customHeight="1">
      <c r="C6" s="27"/>
      <c r="D6" s="8"/>
      <c r="E6" s="8"/>
    </row>
    <row r="7" spans="1:9" ht="22.5" customHeight="1">
      <c r="C7" s="27"/>
      <c r="D7" s="16310" t="s">
        <v>1941</v>
      </c>
      <c r="E7" s="16311"/>
      <c r="F7" s="186"/>
    </row>
    <row r="8" spans="1:9" ht="3" customHeight="1">
      <c r="C8" s="27"/>
      <c r="D8" s="8"/>
      <c r="E8" s="8"/>
    </row>
    <row r="9" spans="1:9" ht="15.75" customHeight="1">
      <c r="C9" s="27"/>
      <c r="D9" s="38" t="s">
        <v>87</v>
      </c>
      <c r="E9" s="179" t="s">
        <v>1942</v>
      </c>
    </row>
    <row r="10" spans="1:9" ht="0.75" customHeight="1">
      <c r="C10" s="27"/>
      <c r="D10" s="23"/>
      <c r="E10" s="23"/>
    </row>
    <row r="11" spans="1:9" ht="11.25" hidden="1" customHeight="1">
      <c r="C11" s="27"/>
      <c r="D11" s="76">
        <v>0</v>
      </c>
      <c r="E11" s="180"/>
    </row>
    <row r="12" spans="1:9" ht="36" customHeight="1">
      <c r="C12" s="64"/>
      <c r="D12" s="45">
        <v>1</v>
      </c>
      <c r="E12" s="292" t="s">
        <v>1943</v>
      </c>
    </row>
    <row r="13" spans="1:9" ht="15" customHeight="1">
      <c r="A13" s="15918"/>
      <c r="B13" s="15918"/>
      <c r="C13" s="15919" t="s">
        <v>103</v>
      </c>
      <c r="D13" s="45" t="s">
        <v>102</v>
      </c>
      <c r="E13" s="292" t="s">
        <v>1944</v>
      </c>
      <c r="F13" s="15918"/>
      <c r="G13" s="15918"/>
      <c r="H13" s="15918"/>
      <c r="I13" s="15918"/>
    </row>
    <row r="14" spans="1:9" ht="12" customHeight="1">
      <c r="C14" s="27"/>
      <c r="D14" s="181"/>
      <c r="E14" s="182" t="s">
        <v>1945</v>
      </c>
    </row>
    <row r="15" spans="1:9" ht="3" customHeight="1"/>
    <row r="16" spans="1:9" ht="22.5" customHeight="1">
      <c r="C16" s="65"/>
      <c r="D16" s="16309" t="s">
        <v>1946</v>
      </c>
      <c r="E16" s="16309"/>
      <c r="F16" s="66"/>
      <c r="G16" s="66"/>
      <c r="H16" s="66"/>
      <c r="I16" s="66"/>
    </row>
  </sheetData>
  <sheetProtection formatColumns="0" formatRows="0" insertRows="0" deleteColumns="0" deleteRows="0" sort="0" autoFilter="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4"/>
  <sheetViews>
    <sheetView showGridLines="0" topLeftCell="C6" zoomScale="90" workbookViewId="0">
      <selection activeCell="E13" sqref="E13"/>
    </sheetView>
  </sheetViews>
  <sheetFormatPr defaultColWidth="9.140625" defaultRowHeight="14.25" customHeight="1"/>
  <cols>
    <col min="1" max="2" width="9.140625" style="15920" hidden="1"/>
    <col min="3" max="3" width="3.7109375" style="15921" customWidth="1"/>
    <col min="4" max="4" width="6.28515625" style="15920" customWidth="1"/>
    <col min="5" max="5" width="94.85546875" style="15920" customWidth="1"/>
    <col min="6" max="12" width="9.140625" style="15920"/>
  </cols>
  <sheetData>
    <row r="1" spans="1:12" ht="14.25" hidden="1" customHeight="1">
      <c r="L1" s="183"/>
    </row>
    <row r="2" spans="1:12" ht="14.25" hidden="1" customHeight="1"/>
    <row r="3" spans="1:12" ht="14.25" hidden="1" customHeight="1"/>
    <row r="4" spans="1:12" ht="14.25" hidden="1" customHeight="1"/>
    <row r="5" spans="1:12" ht="14.25" hidden="1" customHeight="1"/>
    <row r="6" spans="1:12" ht="3" customHeight="1">
      <c r="C6" s="27"/>
      <c r="D6" s="8"/>
      <c r="E6" s="8"/>
    </row>
    <row r="7" spans="1:12" ht="22.5" customHeight="1">
      <c r="C7" s="27"/>
      <c r="D7" s="15967" t="s">
        <v>1947</v>
      </c>
      <c r="E7" s="15967"/>
      <c r="F7" s="186"/>
    </row>
    <row r="8" spans="1:12" ht="3" customHeight="1">
      <c r="C8" s="27"/>
      <c r="D8" s="8"/>
      <c r="E8" s="8"/>
    </row>
    <row r="9" spans="1:12" ht="15.75" customHeight="1">
      <c r="C9" s="27"/>
      <c r="D9" s="38" t="s">
        <v>87</v>
      </c>
      <c r="E9" s="41" t="s">
        <v>424</v>
      </c>
    </row>
    <row r="10" spans="1:12" ht="12" customHeight="1">
      <c r="C10" s="27"/>
      <c r="D10" s="23" t="s">
        <v>147</v>
      </c>
      <c r="E10" s="23" t="s">
        <v>102</v>
      </c>
    </row>
    <row r="11" spans="1:12" ht="15" hidden="1" customHeight="1">
      <c r="C11" s="27"/>
      <c r="D11" s="45">
        <v>0</v>
      </c>
      <c r="E11" s="75"/>
    </row>
    <row r="12" spans="1:12" ht="46.5" customHeight="1">
      <c r="A12" s="14339"/>
      <c r="B12" s="14339"/>
      <c r="C12" s="1679" t="s">
        <v>103</v>
      </c>
      <c r="D12" s="45" t="s">
        <v>147</v>
      </c>
      <c r="E12" s="46" t="s">
        <v>1948</v>
      </c>
      <c r="F12" s="14339"/>
      <c r="G12" s="14339"/>
      <c r="H12" s="14339"/>
      <c r="I12" s="14339"/>
      <c r="J12" s="14339"/>
      <c r="K12" s="14339"/>
      <c r="L12" s="14339"/>
    </row>
    <row r="13" spans="1:12" ht="33.4" customHeight="1">
      <c r="A13" s="15918"/>
      <c r="B13" s="15918"/>
      <c r="C13" s="1679" t="s">
        <v>103</v>
      </c>
      <c r="D13" s="45" t="s">
        <v>102</v>
      </c>
      <c r="E13" s="46" t="s">
        <v>1949</v>
      </c>
      <c r="F13" s="15918"/>
      <c r="G13" s="15918"/>
      <c r="H13" s="15918"/>
      <c r="I13" s="15918"/>
      <c r="J13" s="15918"/>
      <c r="K13" s="15918"/>
      <c r="L13" s="15918"/>
    </row>
    <row r="14" spans="1:12" ht="14.25" customHeight="1">
      <c r="C14" s="27"/>
      <c r="D14" s="42"/>
      <c r="E14" s="40" t="s">
        <v>1945</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5922" customWidth="1"/>
    <col min="2" max="2" width="34.5703125" style="15922" customWidth="1"/>
    <col min="3" max="3" width="85.5703125" style="15922" customWidth="1"/>
    <col min="4" max="4" width="17.7109375" style="15922" customWidth="1"/>
    <col min="5" max="5" width="9.140625" style="15922"/>
  </cols>
  <sheetData>
    <row r="1" spans="2:5" ht="3" customHeight="1"/>
    <row r="2" spans="2:5" ht="22.5" customHeight="1">
      <c r="B2" s="16312" t="s">
        <v>1950</v>
      </c>
      <c r="C2" s="16312"/>
      <c r="D2" s="16312"/>
      <c r="E2" s="187"/>
    </row>
    <row r="3" spans="2:5" ht="3" customHeight="1"/>
    <row r="4" spans="2:5" ht="21.75" customHeight="1">
      <c r="B4" s="298" t="s">
        <v>1951</v>
      </c>
      <c r="C4" s="298" t="s">
        <v>1952</v>
      </c>
      <c r="D4" s="298" t="s">
        <v>1953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15922" customWidth="1"/>
    <col min="2" max="2" width="10" style="15922" customWidth="1"/>
    <col min="3" max="3" width="9.140625" style="15922"/>
    <col min="4" max="4" width="11.140625" style="15922" customWidth="1"/>
    <col min="5" max="5" width="16.5703125" style="15922" customWidth="1"/>
    <col min="6" max="6" width="16.28515625" style="15922" customWidth="1"/>
    <col min="7" max="7" width="19.140625" style="15922" customWidth="1"/>
    <col min="8" max="11" width="10" style="15922" customWidth="1"/>
    <col min="12" max="12" width="12.7109375" style="15922" customWidth="1"/>
    <col min="13" max="13" width="61.28515625" style="15922" customWidth="1"/>
    <col min="14" max="14" width="10" style="15922" customWidth="1"/>
    <col min="15" max="17" width="23.7109375" style="15922" customWidth="1"/>
    <col min="18" max="18" width="11.7109375" style="15922" customWidth="1"/>
    <col min="19" max="19" width="8.5703125" style="15922" customWidth="1"/>
    <col min="20" max="20" width="11.7109375" style="15922" customWidth="1"/>
    <col min="21" max="21" width="8.5703125" style="15922" customWidth="1"/>
    <col min="22" max="22" width="4.7109375" style="15922" customWidth="1"/>
    <col min="23" max="23" width="115.7109375" style="15922" customWidth="1"/>
    <col min="24" max="24" width="115.28515625" style="15922" customWidth="1"/>
    <col min="25" max="27" width="9.140625" style="15922"/>
    <col min="28" max="28" width="115.7109375" style="15922" customWidth="1"/>
    <col min="29" max="29" width="9.140625" style="15922"/>
    <col min="30" max="90" width="115.7109375" style="15922" customWidth="1"/>
    <col min="91" max="184" width="9.140625" style="15922"/>
  </cols>
  <sheetData>
    <row r="2" spans="1:80" s="15923" customFormat="1" ht="17.25" customHeight="1">
      <c r="A2" s="1677" t="s">
        <v>1954</v>
      </c>
    </row>
    <row r="4" spans="1:80" s="15920" customFormat="1" ht="15" customHeight="1">
      <c r="C4" s="1678"/>
      <c r="D4" s="45"/>
      <c r="E4" s="292"/>
    </row>
    <row r="6" spans="1:80" s="15923" customFormat="1" ht="17.25" customHeight="1">
      <c r="A6" s="1677" t="s">
        <v>1955</v>
      </c>
    </row>
    <row r="8" spans="1:80" s="15920" customFormat="1" ht="17.25" customHeight="1">
      <c r="C8" s="1679"/>
      <c r="D8" s="45"/>
      <c r="E8" s="46"/>
    </row>
    <row r="11" spans="1:80" s="15923" customFormat="1" ht="17.25" customHeight="1">
      <c r="A11" s="1677" t="s">
        <v>1956</v>
      </c>
    </row>
    <row r="13" spans="1:80" s="15924" customFormat="1" ht="15" customHeight="1">
      <c r="A13" s="15970">
        <v>1</v>
      </c>
      <c r="B13" s="1041"/>
      <c r="C13" s="699" t="s">
        <v>103</v>
      </c>
      <c r="D13" s="1680"/>
      <c r="E13" s="1667">
        <f>A13</f>
        <v>1</v>
      </c>
      <c r="F13" s="702"/>
      <c r="G13" s="446" t="str">
        <f>"Территория "&amp;E13</f>
        <v>Территория 1</v>
      </c>
      <c r="H13" s="690"/>
      <c r="I13" s="690"/>
      <c r="J13" s="687"/>
      <c r="K13" s="1487"/>
      <c r="L13" s="1487"/>
      <c r="M13" s="1487"/>
      <c r="N13" s="147"/>
      <c r="O13" s="1487"/>
      <c r="P13" s="146"/>
      <c r="Q13" s="146"/>
      <c r="R13" s="146"/>
      <c r="S13" s="146"/>
    </row>
    <row r="14" spans="1:80" s="14359" customFormat="1" ht="15" customHeight="1">
      <c r="A14" s="15970"/>
      <c r="B14" s="1041">
        <v>1</v>
      </c>
      <c r="C14" s="1041"/>
      <c r="D14" s="698"/>
      <c r="E14" s="1675" t="str">
        <f>A13&amp;"."&amp;B14</f>
        <v>1.1</v>
      </c>
      <c r="F14" s="701">
        <f>$F$20</f>
        <v>0</v>
      </c>
      <c r="G14" s="691"/>
      <c r="H14" s="691"/>
      <c r="I14" s="689"/>
      <c r="J14" s="1487"/>
      <c r="K14" s="1499"/>
      <c r="L14" s="1499"/>
      <c r="M14" s="1487" t="str">
        <f t="array" ref="M14">IF(ISERROR(MATCH(MID(N14,1,250),MID(note_ter,1,250),0)),"n","y")</f>
        <v>n</v>
      </c>
      <c r="N14" s="1499"/>
      <c r="O14" s="1487"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4359" customFormat="1" ht="15" customHeight="1">
      <c r="A15" s="15970"/>
      <c r="B15" s="1041"/>
      <c r="C15" s="327"/>
      <c r="D15" s="699"/>
      <c r="E15" s="335"/>
      <c r="F15" s="100"/>
      <c r="G15" s="330" t="s">
        <v>101</v>
      </c>
      <c r="H15" s="109"/>
      <c r="I15" s="338"/>
      <c r="J15" s="1499"/>
      <c r="K15" s="1499"/>
      <c r="L15" s="1499"/>
      <c r="M15" s="1499"/>
      <c r="N15" s="1487"/>
      <c r="O15" s="1499"/>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15923" customFormat="1" ht="17.25" customHeight="1">
      <c r="A17" s="1677" t="s">
        <v>1957</v>
      </c>
    </row>
    <row r="19" spans="1:80" s="15909" customFormat="1" ht="15" customHeight="1">
      <c r="A19" s="1742"/>
      <c r="B19" s="1243">
        <v>1</v>
      </c>
      <c r="C19" s="1243"/>
      <c r="D19" s="698" t="s">
        <v>103</v>
      </c>
      <c r="E19" s="1738"/>
      <c r="F19" s="1743">
        <f>$F$20</f>
        <v>0</v>
      </c>
      <c r="G19" s="1747"/>
      <c r="H19" s="1747"/>
      <c r="I19" s="1745"/>
      <c r="J19" s="1487"/>
      <c r="K19" s="1499"/>
      <c r="L19" s="1499"/>
      <c r="M19" s="1487" t="str">
        <f t="array" ref="M19">IF(ISERROR(MATCH(MID(N19,1,250),MID(note_ter,1,250),0)),"n","y")</f>
        <v>n</v>
      </c>
      <c r="N19" s="1499"/>
      <c r="O19" s="1487" t="str">
        <f>H19&amp;"("&amp;I19&amp;")"</f>
        <v>()</v>
      </c>
      <c r="P19" s="1243"/>
      <c r="Q19" s="1243"/>
      <c r="R19" s="334"/>
      <c r="S19" s="1243"/>
      <c r="T19" s="1243"/>
      <c r="U19" s="1243"/>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4359" customFormat="1" ht="15" customHeight="1">
      <c r="A21" s="1677" t="s">
        <v>1958</v>
      </c>
      <c r="B21" s="1677"/>
      <c r="C21" s="1677"/>
      <c r="D21" s="1677"/>
      <c r="E21" s="1677"/>
      <c r="F21" s="1677"/>
      <c r="G21" s="1677"/>
      <c r="H21" s="1677"/>
      <c r="I21" s="1677"/>
      <c r="J21" s="1677"/>
      <c r="K21" s="1677"/>
      <c r="L21" s="1677"/>
      <c r="M21" s="1677"/>
      <c r="N21" s="1677"/>
      <c r="O21" s="1677"/>
      <c r="P21" s="1677"/>
      <c r="Q21" s="1677"/>
      <c r="R21" s="1677"/>
      <c r="S21" s="1677"/>
      <c r="T21" s="1677"/>
      <c r="U21" s="106"/>
      <c r="V21" s="1677"/>
      <c r="W21" s="1677"/>
    </row>
    <row r="22" spans="1:80" s="14359" customFormat="1" ht="15" customHeight="1">
      <c r="U22" s="107"/>
    </row>
    <row r="23" spans="1:80" s="15925" customFormat="1" ht="15" customHeight="1">
      <c r="A23" s="337"/>
      <c r="B23" s="337"/>
      <c r="C23" s="1590" t="s">
        <v>103</v>
      </c>
      <c r="D23" s="15974" t="s">
        <v>147</v>
      </c>
      <c r="E23" s="15975"/>
      <c r="F23" s="15973" t="s">
        <v>56</v>
      </c>
      <c r="G23" s="16345"/>
      <c r="H23" s="15992">
        <v>1</v>
      </c>
      <c r="I23" s="16347" t="str">
        <f>IF(U23="","",INDEX(TERRITORY_MR_LIST,MATCH(U23,TERRITORY_LIST_ID,0)))</f>
        <v/>
      </c>
      <c r="J23" s="15973" t="s">
        <v>56</v>
      </c>
      <c r="K23" s="730"/>
      <c r="L23" s="1644" t="s">
        <v>147</v>
      </c>
      <c r="M23" s="506"/>
      <c r="N23" s="507"/>
      <c r="O23" s="507"/>
      <c r="P23" s="507"/>
      <c r="Q23" s="507"/>
      <c r="R23" s="507"/>
      <c r="S23" s="507"/>
      <c r="T23" s="507"/>
      <c r="U23" s="508"/>
      <c r="V23" s="507"/>
      <c r="W23" s="507"/>
      <c r="X23" s="499"/>
      <c r="Y23" s="499" t="s">
        <v>153</v>
      </c>
      <c r="Z23" s="499">
        <v>1705000</v>
      </c>
      <c r="AA23" s="499"/>
      <c r="AB23" s="499"/>
      <c r="AC23" s="499"/>
      <c r="AD23" s="499"/>
      <c r="AE23" s="499"/>
      <c r="AF23" s="499"/>
      <c r="AG23" s="499"/>
      <c r="AH23" s="499"/>
      <c r="AI23" s="499"/>
      <c r="AJ23" s="499"/>
      <c r="AK23" s="499"/>
      <c r="AL23" s="499"/>
    </row>
    <row r="24" spans="1:80" s="15925" customFormat="1" ht="15" customHeight="1">
      <c r="A24" s="337"/>
      <c r="B24" s="337"/>
      <c r="C24" s="99"/>
      <c r="D24" s="15974"/>
      <c r="E24" s="15976"/>
      <c r="F24" s="15973"/>
      <c r="G24" s="16346"/>
      <c r="H24" s="15992"/>
      <c r="I24" s="16348"/>
      <c r="J24" s="15973"/>
      <c r="K24" s="335"/>
      <c r="L24" s="100"/>
      <c r="M24" s="509" t="s">
        <v>154</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15925" customFormat="1" ht="15" customHeight="1">
      <c r="A25" s="337"/>
      <c r="B25" s="337"/>
      <c r="C25" s="99"/>
      <c r="D25" s="15974"/>
      <c r="E25" s="15977"/>
      <c r="F25" s="15973"/>
      <c r="G25" s="335"/>
      <c r="H25" s="100"/>
      <c r="I25" s="486" t="s">
        <v>155</v>
      </c>
      <c r="J25" s="100"/>
      <c r="K25" s="100"/>
      <c r="L25" s="100"/>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4359" customFormat="1" ht="15" customHeight="1">
      <c r="U26" s="107"/>
    </row>
    <row r="27" spans="1:80" s="14359" customFormat="1" ht="15" customHeight="1">
      <c r="A27" s="1677" t="s">
        <v>1959</v>
      </c>
      <c r="B27" s="1677"/>
      <c r="C27" s="1677"/>
      <c r="D27" s="1677"/>
      <c r="E27" s="1677"/>
      <c r="F27" s="1677"/>
      <c r="G27" s="1677"/>
      <c r="H27" s="1677"/>
      <c r="I27" s="1677"/>
      <c r="J27" s="1677"/>
      <c r="K27" s="1677"/>
      <c r="L27" s="1677"/>
      <c r="M27" s="1677"/>
      <c r="N27" s="1677"/>
      <c r="O27" s="1677"/>
      <c r="P27" s="1677"/>
      <c r="Q27" s="1677"/>
      <c r="R27" s="1677"/>
      <c r="S27" s="1677"/>
      <c r="T27" s="1677"/>
      <c r="U27" s="106"/>
      <c r="V27" s="1677"/>
      <c r="W27" s="1677"/>
    </row>
    <row r="28" spans="1:80" s="14359" customFormat="1" ht="15" customHeight="1">
      <c r="U28" s="107"/>
    </row>
    <row r="29" spans="1:80" s="15925" customFormat="1" ht="15" customHeight="1">
      <c r="A29" s="337"/>
      <c r="B29" s="337"/>
      <c r="C29" s="99"/>
      <c r="D29" s="1681"/>
      <c r="E29" s="1681"/>
      <c r="F29" s="1681"/>
      <c r="G29" s="16349" t="s">
        <v>103</v>
      </c>
      <c r="H29" s="15962">
        <v>1</v>
      </c>
      <c r="I29" s="16350" t="str">
        <f>IF(U29="","",INDEX(TERRITORY_MR_LIST,MATCH(U29,TERRITORY_LIST_ID,0)))</f>
        <v/>
      </c>
      <c r="J29" s="15973" t="s">
        <v>56</v>
      </c>
      <c r="K29" s="730"/>
      <c r="L29" s="1644" t="s">
        <v>147</v>
      </c>
      <c r="M29" s="506"/>
      <c r="N29" s="507"/>
      <c r="O29" s="507"/>
      <c r="P29" s="507"/>
      <c r="Q29" s="507"/>
      <c r="R29" s="507"/>
      <c r="S29" s="507"/>
      <c r="T29" s="507"/>
      <c r="U29" s="508"/>
      <c r="V29" s="507"/>
      <c r="W29" s="507"/>
      <c r="X29" s="499"/>
      <c r="Y29" s="499" t="s">
        <v>153</v>
      </c>
      <c r="Z29" s="499">
        <v>1705000</v>
      </c>
      <c r="AA29" s="499"/>
      <c r="AB29" s="499"/>
      <c r="AC29" s="499"/>
      <c r="AD29" s="499"/>
      <c r="AE29" s="499"/>
      <c r="AF29" s="499"/>
      <c r="AG29" s="499"/>
      <c r="AH29" s="499"/>
      <c r="AI29" s="499"/>
      <c r="AJ29" s="499"/>
      <c r="AK29" s="499"/>
      <c r="AL29" s="499"/>
    </row>
    <row r="30" spans="1:80" s="15925" customFormat="1" ht="15" customHeight="1">
      <c r="A30" s="337"/>
      <c r="B30" s="337"/>
      <c r="C30" s="99"/>
      <c r="D30" s="1681"/>
      <c r="E30" s="1681"/>
      <c r="F30" s="1681"/>
      <c r="G30" s="16349"/>
      <c r="H30" s="15962"/>
      <c r="I30" s="16350"/>
      <c r="J30" s="15973"/>
      <c r="K30" s="335"/>
      <c r="L30" s="100"/>
      <c r="M30" s="509" t="s">
        <v>154</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4359" customFormat="1" ht="15" customHeight="1">
      <c r="U31" s="107"/>
    </row>
    <row r="32" spans="1:80" s="14359" customFormat="1" ht="15" customHeight="1">
      <c r="A32" s="1677" t="s">
        <v>1960</v>
      </c>
      <c r="B32" s="1677"/>
      <c r="C32" s="1677"/>
      <c r="D32" s="1677"/>
      <c r="E32" s="1677"/>
      <c r="F32" s="1677"/>
      <c r="G32" s="1677"/>
      <c r="H32" s="1677"/>
      <c r="I32" s="1677"/>
      <c r="J32" s="1677"/>
      <c r="K32" s="1677"/>
      <c r="L32" s="1677"/>
      <c r="M32" s="1677"/>
      <c r="N32" s="1677"/>
      <c r="O32" s="1677"/>
      <c r="P32" s="1677"/>
      <c r="Q32" s="1677"/>
      <c r="R32" s="1677"/>
      <c r="S32" s="1677"/>
      <c r="T32" s="1677"/>
      <c r="U32" s="106"/>
      <c r="V32" s="1677"/>
      <c r="W32" s="1677"/>
    </row>
    <row r="33" spans="1:38" s="14359" customFormat="1" ht="15" customHeight="1">
      <c r="U33" s="107"/>
    </row>
    <row r="34" spans="1:38" s="15925" customFormat="1" ht="15" customHeight="1">
      <c r="A34" s="337"/>
      <c r="B34" s="337"/>
      <c r="C34" s="99"/>
      <c r="D34" s="1681"/>
      <c r="E34" s="1681"/>
      <c r="F34" s="1681"/>
      <c r="G34" s="1681"/>
      <c r="H34" s="1681"/>
      <c r="I34" s="1681"/>
      <c r="J34" s="1681"/>
      <c r="K34" s="1661" t="s">
        <v>103</v>
      </c>
      <c r="L34" s="1591" t="s">
        <v>147</v>
      </c>
      <c r="M34" s="709"/>
      <c r="N34" s="710"/>
      <c r="O34" s="507"/>
      <c r="P34" s="507"/>
      <c r="Q34" s="507"/>
      <c r="R34" s="507"/>
      <c r="S34" s="507"/>
      <c r="T34" s="507"/>
      <c r="U34" s="508"/>
      <c r="V34" s="507"/>
      <c r="W34" s="507"/>
      <c r="X34" s="499"/>
      <c r="Y34" s="499" t="s">
        <v>153</v>
      </c>
      <c r="Z34" s="499">
        <v>1705000</v>
      </c>
      <c r="AA34" s="499"/>
      <c r="AB34" s="499"/>
      <c r="AC34" s="499"/>
      <c r="AD34" s="499"/>
      <c r="AE34" s="499"/>
      <c r="AF34" s="499"/>
      <c r="AG34" s="499"/>
      <c r="AH34" s="499"/>
      <c r="AI34" s="499"/>
      <c r="AJ34" s="499"/>
      <c r="AK34" s="499"/>
      <c r="AL34" s="499"/>
    </row>
    <row r="35" spans="1:38" s="14359" customFormat="1" ht="15" customHeight="1">
      <c r="U35" s="107"/>
    </row>
    <row r="36" spans="1:38" s="14359" customFormat="1" ht="15" customHeight="1">
      <c r="U36" s="107"/>
    </row>
    <row r="37" spans="1:38" s="15923" customFormat="1" ht="11.25" customHeight="1">
      <c r="A37" s="1677" t="s">
        <v>1961</v>
      </c>
    </row>
    <row r="38" spans="1:38" ht="11.25" customHeight="1"/>
    <row r="39" spans="1:38" s="14401" customFormat="1" ht="22.5" customHeight="1">
      <c r="A39" s="1653"/>
      <c r="B39" s="366"/>
      <c r="C39" s="753"/>
      <c r="D39" s="353"/>
      <c r="E39" s="754"/>
      <c r="F39" s="1674"/>
      <c r="G39" s="1682"/>
      <c r="H39" s="383"/>
    </row>
    <row r="40" spans="1:38" ht="11.25" customHeight="1"/>
    <row r="41" spans="1:38" s="15923" customFormat="1" ht="11.25" customHeight="1">
      <c r="A41" s="1677" t="s">
        <v>1962</v>
      </c>
    </row>
    <row r="42" spans="1:38" ht="11.25" customHeight="1"/>
    <row r="43" spans="1:38" s="14401" customFormat="1" ht="22.5" customHeight="1">
      <c r="A43" s="366"/>
      <c r="B43" s="366"/>
      <c r="C43" s="366"/>
      <c r="D43" s="353"/>
      <c r="E43" s="754"/>
      <c r="F43" s="755"/>
      <c r="G43" s="1682"/>
      <c r="H43" s="383"/>
    </row>
    <row r="44" spans="1:38" ht="11.25" customHeight="1"/>
    <row r="45" spans="1:38" s="15923" customFormat="1" ht="11.25" customHeight="1">
      <c r="A45" s="1677" t="s">
        <v>1963</v>
      </c>
    </row>
    <row r="46" spans="1:38" ht="11.25" customHeight="1"/>
    <row r="47" spans="1:38" s="14401" customFormat="1" ht="24" customHeight="1">
      <c r="A47" s="16077" t="s">
        <v>450</v>
      </c>
      <c r="B47" s="409"/>
      <c r="C47" s="16088"/>
      <c r="D47" s="358" t="str">
        <f>A47</f>
        <v>5.1</v>
      </c>
      <c r="E47" s="355" t="s">
        <v>451</v>
      </c>
      <c r="F47" s="1837" t="s">
        <v>443</v>
      </c>
      <c r="G47" s="357" t="s">
        <v>452</v>
      </c>
      <c r="H47" s="383"/>
      <c r="I47" s="746"/>
    </row>
    <row r="48" spans="1:38" s="14401" customFormat="1" ht="22.5" customHeight="1">
      <c r="A48" s="16077"/>
      <c r="B48" s="409"/>
      <c r="C48" s="16088"/>
      <c r="D48" s="353" t="str">
        <f>D47&amp;".1"</f>
        <v>5.1.1</v>
      </c>
      <c r="E48" s="352" t="s">
        <v>453</v>
      </c>
      <c r="F48" s="1838" t="s">
        <v>24</v>
      </c>
      <c r="G48" s="382"/>
      <c r="H48" s="383"/>
      <c r="I48" s="746"/>
    </row>
    <row r="49" spans="1:45" s="14401" customFormat="1" ht="22.5" customHeight="1">
      <c r="A49" s="16077"/>
      <c r="B49" s="409"/>
      <c r="C49" s="16088"/>
      <c r="D49" s="353" t="str">
        <f>D47&amp;".2"</f>
        <v>5.1.2</v>
      </c>
      <c r="E49" s="352" t="s">
        <v>454</v>
      </c>
      <c r="F49" s="1594" t="s">
        <v>24</v>
      </c>
      <c r="G49" s="357" t="s">
        <v>455</v>
      </c>
      <c r="H49" s="383"/>
      <c r="I49" s="746"/>
    </row>
    <row r="50" spans="1:45" s="14401" customFormat="1" ht="22.5" customHeight="1">
      <c r="A50" s="16077"/>
      <c r="B50" s="409"/>
      <c r="C50" s="16088"/>
      <c r="D50" s="353" t="str">
        <f>D47&amp;".3"</f>
        <v>5.1.3</v>
      </c>
      <c r="E50" s="352" t="s">
        <v>456</v>
      </c>
      <c r="F50" s="1838" t="s">
        <v>24</v>
      </c>
      <c r="G50" s="382"/>
      <c r="H50" s="383"/>
      <c r="I50" s="746"/>
    </row>
    <row r="51" spans="1:45" s="14401" customFormat="1" ht="22.5" customHeight="1">
      <c r="A51" s="16077"/>
      <c r="B51" s="409"/>
      <c r="C51" s="16088"/>
      <c r="D51" s="353" t="str">
        <f>D47&amp;".4"</f>
        <v>5.1.4</v>
      </c>
      <c r="E51" s="352" t="s">
        <v>457</v>
      </c>
      <c r="F51" s="1838" t="s">
        <v>24</v>
      </c>
      <c r="G51" s="357" t="s">
        <v>458</v>
      </c>
      <c r="H51" s="383"/>
      <c r="I51" s="746"/>
    </row>
    <row r="54" spans="1:45" s="15923" customFormat="1" ht="17.25" customHeight="1">
      <c r="A54" s="1677" t="s">
        <v>1964</v>
      </c>
    </row>
    <row r="56" spans="1:45" s="14414" customFormat="1" ht="18.75" customHeight="1">
      <c r="A56" s="25"/>
      <c r="B56" s="1683"/>
      <c r="C56" s="1683"/>
      <c r="D56" s="1684"/>
      <c r="E56" s="1671"/>
      <c r="F56" s="762">
        <v>13</v>
      </c>
      <c r="G56" s="761"/>
      <c r="H56" s="691"/>
      <c r="I56" s="689"/>
      <c r="J56" s="427" t="s">
        <v>66</v>
      </c>
      <c r="K56" s="1685" t="s">
        <v>24</v>
      </c>
      <c r="L56" s="25"/>
      <c r="M56" s="1499"/>
      <c r="N56" s="1499"/>
      <c r="O56" s="1499"/>
      <c r="P56" s="423" t="s">
        <v>529</v>
      </c>
      <c r="Q56" s="423" t="s">
        <v>530</v>
      </c>
      <c r="R56" s="424" t="s">
        <v>531</v>
      </c>
      <c r="S56" s="1499" t="s">
        <v>532</v>
      </c>
      <c r="T56" s="1499"/>
      <c r="U56" s="1499"/>
      <c r="V56" s="1499"/>
    </row>
    <row r="58" spans="1:45" s="15923" customFormat="1" ht="11.25" customHeight="1">
      <c r="A58" s="1677" t="s">
        <v>1965</v>
      </c>
    </row>
    <row r="60" spans="1:45" s="14433" customFormat="1" ht="14.25" customHeight="1">
      <c r="C60" s="1551"/>
      <c r="D60" s="1730"/>
      <c r="E60" s="1639" t="s">
        <v>24</v>
      </c>
      <c r="F60" s="1729"/>
      <c r="G60" s="750"/>
      <c r="H60" s="1640"/>
      <c r="I60" s="1640"/>
      <c r="J60" s="346"/>
      <c r="K60" s="1724"/>
      <c r="L60" s="345"/>
      <c r="M60" s="1724"/>
      <c r="N60" s="346"/>
      <c r="O60" s="1724"/>
      <c r="P60" s="346"/>
      <c r="Q60" s="1724"/>
      <c r="R60" s="346"/>
      <c r="S60" s="748"/>
      <c r="T60" s="1640"/>
      <c r="U60" s="346"/>
      <c r="V60" s="346"/>
      <c r="W60" s="1728"/>
      <c r="X60" s="1640"/>
      <c r="Y60" s="346"/>
      <c r="Z60" s="346"/>
      <c r="AA60" s="1728"/>
      <c r="AB60" s="1640"/>
      <c r="AC60" s="346"/>
      <c r="AD60" s="1728"/>
      <c r="AE60" s="25"/>
      <c r="AF60" s="25"/>
      <c r="AG60" s="25"/>
      <c r="AH60" s="25"/>
      <c r="AJ60" s="1499"/>
      <c r="AK60" s="1499"/>
      <c r="AL60" s="1499"/>
      <c r="AM60" s="1499"/>
      <c r="AN60" s="1499"/>
      <c r="AO60" s="1499"/>
      <c r="AP60" s="1487" t="s">
        <v>518</v>
      </c>
      <c r="AQ60" s="1487" t="s">
        <v>518</v>
      </c>
      <c r="AR60" s="1499"/>
      <c r="AS60" s="1499"/>
    </row>
    <row r="62" spans="1:45" s="15923" customFormat="1" ht="11.25" customHeight="1">
      <c r="A62" s="1677" t="s">
        <v>1966</v>
      </c>
    </row>
    <row r="64" spans="1:45" s="15926" customFormat="1" ht="15" customHeight="1">
      <c r="A64" s="71" t="s">
        <v>89</v>
      </c>
      <c r="B64" s="54" t="s">
        <v>24</v>
      </c>
      <c r="C64" s="1686"/>
      <c r="D64" s="57"/>
      <c r="E64" s="296"/>
      <c r="F64" s="296"/>
      <c r="G64" s="1665"/>
      <c r="H64" s="1685"/>
      <c r="I64" s="1666"/>
      <c r="K64" s="191"/>
      <c r="L64" s="192"/>
    </row>
    <row r="66" spans="1:30" s="15923" customFormat="1" ht="11.25" customHeight="1">
      <c r="A66" s="1677" t="s">
        <v>1967</v>
      </c>
    </row>
    <row r="68" spans="1:30" s="14433" customFormat="1" ht="14.25" customHeight="1">
      <c r="A68" s="259"/>
      <c r="B68" s="1041"/>
      <c r="C68" s="291"/>
      <c r="D68" s="1672"/>
      <c r="E68" s="780"/>
      <c r="F68" s="1685"/>
      <c r="G68" s="25"/>
      <c r="I68" s="1487"/>
      <c r="J68" s="1487"/>
    </row>
    <row r="70" spans="1:30" s="15923" customFormat="1" ht="11.25" customHeight="1">
      <c r="A70" s="1677" t="s">
        <v>1968</v>
      </c>
    </row>
    <row r="72" spans="1:30" s="14433" customFormat="1" ht="27" customHeight="1">
      <c r="A72" s="1047"/>
      <c r="B72" s="1047"/>
      <c r="C72" s="1047"/>
      <c r="D72" s="1041"/>
      <c r="E72" s="1687"/>
      <c r="F72" s="16361"/>
      <c r="G72" s="16362"/>
      <c r="H72" s="16363" t="s">
        <v>66</v>
      </c>
      <c r="I72" s="16365"/>
      <c r="J72" s="16340"/>
      <c r="K72" s="16367"/>
      <c r="L72" s="16342"/>
      <c r="M72" s="16342"/>
      <c r="N72" s="16343"/>
      <c r="O72" s="16343"/>
      <c r="P72" s="16344" t="e">
        <f>DATEDIF(DATEVALUE(N72),DATEVALUE(O72),"y")&amp;"г. "&amp;DATEDIF(DATEVALUE(N72),DATEVALUE(O72),"ym")&amp;"мес. "&amp;DATEVALUE(O72)-DATE(YEAR(DATEVALUE(O72)),MONTH(DATEVALUE(O72)),1)&amp;"дн. "</f>
        <v>#VALUE!</v>
      </c>
      <c r="Q72" s="16339"/>
      <c r="R72" s="16339"/>
      <c r="S72" s="16339"/>
      <c r="T72" s="16340"/>
      <c r="U72" s="16339"/>
      <c r="V72" s="16339"/>
      <c r="W72" s="16339"/>
      <c r="X72" s="16340"/>
      <c r="Y72" s="16337" t="s">
        <v>66</v>
      </c>
      <c r="Z72" s="1670"/>
      <c r="AA72" s="1654">
        <v>1</v>
      </c>
      <c r="AB72" s="1124"/>
      <c r="AD72" s="1499" t="s">
        <v>1969</v>
      </c>
    </row>
    <row r="73" spans="1:30" s="14433" customFormat="1" ht="10.5" customHeight="1">
      <c r="A73" s="1047"/>
      <c r="B73" s="1047"/>
      <c r="C73" s="1047"/>
      <c r="D73" s="1041"/>
      <c r="E73" s="837"/>
      <c r="F73" s="16361"/>
      <c r="G73" s="16362"/>
      <c r="H73" s="16364"/>
      <c r="I73" s="16366"/>
      <c r="J73" s="16341"/>
      <c r="K73" s="16367"/>
      <c r="L73" s="16342"/>
      <c r="M73" s="16342"/>
      <c r="N73" s="16343"/>
      <c r="O73" s="16343"/>
      <c r="P73" s="16344"/>
      <c r="Q73" s="16339"/>
      <c r="R73" s="16339"/>
      <c r="S73" s="16339"/>
      <c r="T73" s="16341"/>
      <c r="U73" s="16339"/>
      <c r="V73" s="16339"/>
      <c r="W73" s="16339"/>
      <c r="X73" s="16341"/>
      <c r="Y73" s="16338"/>
      <c r="Z73" s="263"/>
      <c r="AA73" s="478"/>
      <c r="AB73" s="554" t="s">
        <v>1970</v>
      </c>
    </row>
    <row r="75" spans="1:30" s="15923" customFormat="1" ht="11.25" customHeight="1">
      <c r="A75" s="1677" t="s">
        <v>1971</v>
      </c>
    </row>
    <row r="77" spans="1:30" s="14433" customFormat="1" ht="27" customHeight="1">
      <c r="A77" s="1047"/>
      <c r="B77" s="1047"/>
      <c r="C77" s="1047"/>
      <c r="D77" s="1041"/>
      <c r="E77" s="1687"/>
      <c r="F77" s="1659"/>
      <c r="G77" s="1609"/>
      <c r="H77" s="1610"/>
      <c r="I77" s="1611"/>
      <c r="J77" s="1612"/>
      <c r="K77" s="1613"/>
      <c r="L77" s="1614"/>
      <c r="M77" s="1614"/>
      <c r="N77" s="1615"/>
      <c r="O77" s="1615"/>
      <c r="P77" s="1616"/>
      <c r="Q77" s="1617"/>
      <c r="R77" s="1617"/>
      <c r="S77" s="1617"/>
      <c r="T77" s="1612"/>
      <c r="U77" s="1617"/>
      <c r="V77" s="1617"/>
      <c r="W77" s="1617"/>
      <c r="X77" s="1612"/>
      <c r="Y77" s="1610"/>
      <c r="Z77" s="1670"/>
      <c r="AA77" s="1654">
        <v>1</v>
      </c>
      <c r="AB77" s="1124"/>
      <c r="AD77" s="1499" t="s">
        <v>1969</v>
      </c>
    </row>
    <row r="79" spans="1:30" s="15923" customFormat="1" ht="11.25" customHeight="1">
      <c r="A79" s="1677" t="s">
        <v>1972</v>
      </c>
    </row>
    <row r="80" spans="1:30" ht="17.25" customHeight="1"/>
    <row r="81" spans="1:58" s="14433" customFormat="1" ht="21" customHeight="1">
      <c r="A81" s="1048"/>
      <c r="B81" s="1047"/>
      <c r="C81" s="1047"/>
      <c r="D81" s="1041"/>
      <c r="E81" s="1051"/>
      <c r="F81" s="1006" t="e">
        <f>INDEX(IP_MAIN_LIST_NAME_IP,MATCH(A81,IP_MAIN_LIST_IP_ID,0))&amp;" ("&amp;INDEX(IP_MAIN_START_DATE,MATCH(A81,IP_MAIN_LIST_IP_ID,0))&amp;"-"&amp;INDEX(IP_MAIN_END_DATE,MATCH(A81,IP_MAIN_LIST_IP_ID,0))&amp;")"</f>
        <v>#N/A</v>
      </c>
      <c r="G81" s="1007"/>
      <c r="H81" s="1007"/>
      <c r="I81" s="1068"/>
      <c r="J81" s="1068"/>
      <c r="K81" s="1069"/>
      <c r="L81" s="1069"/>
      <c r="M81" s="1069"/>
      <c r="N81" s="1070"/>
      <c r="O81" s="1070"/>
      <c r="P81" s="1070"/>
      <c r="Q81" s="1070"/>
      <c r="R81" s="1070"/>
      <c r="S81" s="1070"/>
      <c r="T81" s="1070"/>
      <c r="U81" s="1070"/>
      <c r="V81" s="1070"/>
      <c r="W81" s="1070"/>
      <c r="X81" s="1070"/>
      <c r="Y81" s="1070"/>
      <c r="Z81" s="1070"/>
      <c r="AA81" s="1070"/>
      <c r="AB81" s="1070"/>
      <c r="AC81" s="1070"/>
      <c r="AD81" s="1070"/>
      <c r="AE81" s="1071"/>
      <c r="AF81" s="1069"/>
      <c r="AG81" s="1069"/>
      <c r="AH81" s="1069"/>
      <c r="AI81" s="1069"/>
      <c r="AJ81" s="1069"/>
      <c r="AK81" s="1069"/>
      <c r="AL81" s="1052"/>
      <c r="AM81" s="1683"/>
      <c r="AN81" s="1683"/>
      <c r="AO81" s="1683"/>
      <c r="AP81" s="1683"/>
      <c r="AQ81" s="1683"/>
      <c r="AR81" s="1683"/>
      <c r="AS81" s="1683"/>
      <c r="AT81" s="1683"/>
      <c r="AU81" s="1683"/>
      <c r="AV81" s="1683"/>
      <c r="AW81" s="1683"/>
      <c r="AX81" s="1683"/>
      <c r="AY81" s="1683"/>
      <c r="AZ81" s="1683"/>
      <c r="BA81" s="1683"/>
      <c r="BB81" s="1683"/>
      <c r="BC81" s="1683"/>
      <c r="BD81" s="1683"/>
      <c r="BE81" s="1683"/>
      <c r="BF81" s="1683"/>
    </row>
    <row r="82" spans="1:58" s="14433" customFormat="1" ht="11.25" customHeight="1">
      <c r="A82" s="1047"/>
      <c r="B82" s="1047"/>
      <c r="C82" s="1047"/>
      <c r="D82" s="1041"/>
      <c r="E82" s="1051"/>
      <c r="F82" s="16335"/>
      <c r="G82" s="16248"/>
      <c r="H82" s="16248" t="s">
        <v>147</v>
      </c>
      <c r="I82" s="16321"/>
      <c r="J82" s="16298"/>
      <c r="K82" s="16322"/>
      <c r="L82" s="16314" t="s">
        <v>56</v>
      </c>
      <c r="M82" s="15974"/>
      <c r="N82" s="1060"/>
      <c r="O82" s="1059" t="s">
        <v>513</v>
      </c>
      <c r="P82" s="1060"/>
      <c r="Q82" s="1060"/>
      <c r="R82" s="1060"/>
      <c r="S82" s="1060"/>
      <c r="T82" s="1060"/>
      <c r="U82" s="1060"/>
      <c r="V82" s="1060"/>
      <c r="W82" s="1060"/>
      <c r="X82" s="1060"/>
      <c r="Y82" s="1060"/>
      <c r="Z82" s="1060"/>
      <c r="AA82" s="1060"/>
      <c r="AB82" s="1060"/>
      <c r="AC82" s="1060"/>
      <c r="AD82" s="1060"/>
      <c r="AE82" s="1060"/>
      <c r="AF82" s="16313"/>
      <c r="AG82" s="16314"/>
      <c r="AH82" s="16314"/>
      <c r="AI82" s="16313"/>
      <c r="AJ82" s="16314"/>
      <c r="AK82" s="16314"/>
      <c r="AL82" s="1054"/>
      <c r="AM82" s="1683"/>
      <c r="AN82" s="1683"/>
      <c r="AO82" s="1683"/>
      <c r="AP82" s="1683"/>
      <c r="AQ82" s="1683"/>
      <c r="AR82" s="1683"/>
      <c r="AS82" s="1683"/>
      <c r="AT82" s="1683"/>
      <c r="AU82" s="1683"/>
      <c r="AV82" s="1683"/>
      <c r="AW82" s="1683"/>
      <c r="AX82" s="1683"/>
      <c r="AY82" s="1683"/>
      <c r="AZ82" s="1683"/>
      <c r="BA82" s="1683"/>
      <c r="BB82" s="1683"/>
      <c r="BC82" s="1683"/>
      <c r="BD82" s="1683"/>
      <c r="BE82" s="1683"/>
      <c r="BF82" s="1683"/>
    </row>
    <row r="83" spans="1:58" s="14433" customFormat="1" ht="11.25" customHeight="1">
      <c r="A83" s="1047"/>
      <c r="B83" s="1047"/>
      <c r="C83" s="1047"/>
      <c r="D83" s="1041"/>
      <c r="E83" s="1051"/>
      <c r="F83" s="16335"/>
      <c r="G83" s="16248"/>
      <c r="H83" s="16248"/>
      <c r="I83" s="16321"/>
      <c r="J83" s="16298"/>
      <c r="K83" s="16322"/>
      <c r="L83" s="16314"/>
      <c r="M83" s="15974"/>
      <c r="N83" s="16315"/>
      <c r="O83" s="16316">
        <v>1</v>
      </c>
      <c r="P83" s="16317" t="s">
        <v>56</v>
      </c>
      <c r="Q83" s="16230" t="s">
        <v>24</v>
      </c>
      <c r="R83" s="16230" t="s">
        <v>24</v>
      </c>
      <c r="S83" s="16230" t="s">
        <v>24</v>
      </c>
      <c r="T83" s="16230" t="s">
        <v>24</v>
      </c>
      <c r="U83" s="16230" t="s">
        <v>24</v>
      </c>
      <c r="V83" s="16230" t="s">
        <v>24</v>
      </c>
      <c r="W83" s="16230" t="s">
        <v>24</v>
      </c>
      <c r="X83" s="16230" t="s">
        <v>24</v>
      </c>
      <c r="Y83" s="16230"/>
      <c r="Z83" s="1057"/>
      <c r="AA83" s="1058"/>
      <c r="AB83" s="1058"/>
      <c r="AC83" s="1062"/>
      <c r="AD83" s="1062"/>
      <c r="AE83" s="1063"/>
      <c r="AF83" s="16313"/>
      <c r="AG83" s="16314"/>
      <c r="AH83" s="16314"/>
      <c r="AI83" s="16313"/>
      <c r="AJ83" s="16314"/>
      <c r="AK83" s="16314"/>
      <c r="AL83" s="1054"/>
      <c r="AM83" s="1683"/>
      <c r="AN83" s="1683"/>
      <c r="AO83" s="1683"/>
      <c r="AP83" s="1683"/>
      <c r="AQ83" s="1683"/>
      <c r="AR83" s="1683"/>
      <c r="AS83" s="1683"/>
      <c r="AT83" s="1683"/>
      <c r="AU83" s="1683"/>
      <c r="AV83" s="1683"/>
      <c r="AW83" s="1683"/>
      <c r="AX83" s="1683"/>
      <c r="AY83" s="1683"/>
      <c r="AZ83" s="1683"/>
      <c r="BA83" s="1683"/>
      <c r="BB83" s="1683"/>
      <c r="BC83" s="1683"/>
      <c r="BD83" s="1683"/>
      <c r="BE83" s="1683"/>
      <c r="BF83" s="1683"/>
    </row>
    <row r="84" spans="1:58" s="14433" customFormat="1" ht="11.25" customHeight="1">
      <c r="A84" s="1047"/>
      <c r="B84" s="1047"/>
      <c r="C84" s="1047"/>
      <c r="D84" s="1041"/>
      <c r="E84" s="1051"/>
      <c r="F84" s="16335"/>
      <c r="G84" s="16248"/>
      <c r="H84" s="16248"/>
      <c r="I84" s="16321"/>
      <c r="J84" s="16298"/>
      <c r="K84" s="16322"/>
      <c r="L84" s="16314"/>
      <c r="M84" s="15974"/>
      <c r="N84" s="16315"/>
      <c r="O84" s="16316"/>
      <c r="P84" s="16318"/>
      <c r="Q84" s="16230"/>
      <c r="R84" s="16230"/>
      <c r="S84" s="16320"/>
      <c r="T84" s="16230"/>
      <c r="U84" s="16230"/>
      <c r="V84" s="16230"/>
      <c r="W84" s="16230"/>
      <c r="X84" s="16230"/>
      <c r="Y84" s="16230"/>
      <c r="Z84" s="1688"/>
      <c r="AA84" s="1656">
        <v>1</v>
      </c>
      <c r="AB84" s="1061"/>
      <c r="AC84" s="1050"/>
      <c r="AD84" s="1061">
        <f>AB84</f>
        <v>0</v>
      </c>
      <c r="AE84" s="1050"/>
      <c r="AF84" s="16313"/>
      <c r="AG84" s="16314"/>
      <c r="AH84" s="16314"/>
      <c r="AI84" s="16313"/>
      <c r="AJ84" s="16314"/>
      <c r="AK84" s="16314"/>
      <c r="AL84" s="1054"/>
      <c r="AM84" s="1683"/>
      <c r="AN84" s="1683"/>
      <c r="AO84" s="1683"/>
      <c r="AP84" s="1683"/>
      <c r="AQ84" s="1683"/>
      <c r="AR84" s="1683"/>
      <c r="AS84" s="1683"/>
      <c r="AT84" s="1683"/>
      <c r="AU84" s="1683"/>
      <c r="AV84" s="1683"/>
      <c r="AW84" s="1683"/>
      <c r="AX84" s="1683"/>
      <c r="AY84" s="1683"/>
      <c r="AZ84" s="1683"/>
      <c r="BA84" s="1683"/>
      <c r="BB84" s="1683"/>
      <c r="BC84" s="1683"/>
      <c r="BD84" s="1683"/>
      <c r="BE84" s="1683"/>
      <c r="BF84" s="1683"/>
    </row>
    <row r="85" spans="1:58" s="14433" customFormat="1" ht="11.25" customHeight="1">
      <c r="A85" s="1047"/>
      <c r="B85" s="1047"/>
      <c r="C85" s="1047"/>
      <c r="D85" s="1041"/>
      <c r="E85" s="1051"/>
      <c r="F85" s="16335"/>
      <c r="G85" s="16248"/>
      <c r="H85" s="16248"/>
      <c r="I85" s="16321"/>
      <c r="J85" s="16298"/>
      <c r="K85" s="16322"/>
      <c r="L85" s="16314"/>
      <c r="M85" s="15974"/>
      <c r="N85" s="16315"/>
      <c r="O85" s="16316"/>
      <c r="P85" s="16319"/>
      <c r="Q85" s="16230"/>
      <c r="R85" s="16230"/>
      <c r="S85" s="16320"/>
      <c r="T85" s="16230"/>
      <c r="U85" s="16230"/>
      <c r="V85" s="16230"/>
      <c r="W85" s="16230"/>
      <c r="X85" s="16230"/>
      <c r="Y85" s="16230"/>
      <c r="Z85" s="1057"/>
      <c r="AA85" s="1058"/>
      <c r="AB85" s="1123" t="s">
        <v>1973</v>
      </c>
      <c r="AC85" s="1062"/>
      <c r="AD85" s="1062"/>
      <c r="AE85" s="1064"/>
      <c r="AF85" s="16313"/>
      <c r="AG85" s="16314"/>
      <c r="AH85" s="16314"/>
      <c r="AI85" s="16313"/>
      <c r="AJ85" s="16314"/>
      <c r="AK85" s="16314"/>
      <c r="AL85" s="1054"/>
      <c r="AM85" s="1683"/>
      <c r="AN85" s="1683"/>
      <c r="AO85" s="1683"/>
      <c r="AP85" s="1683"/>
      <c r="AQ85" s="1683"/>
      <c r="AR85" s="1683"/>
      <c r="AS85" s="1683"/>
      <c r="AT85" s="1683"/>
      <c r="AU85" s="1683"/>
      <c r="AV85" s="1683"/>
      <c r="AW85" s="1683"/>
      <c r="AX85" s="1683"/>
      <c r="AY85" s="1683"/>
      <c r="AZ85" s="1683"/>
      <c r="BA85" s="1683"/>
      <c r="BB85" s="1683"/>
      <c r="BC85" s="1683"/>
      <c r="BD85" s="1683"/>
      <c r="BE85" s="1683"/>
      <c r="BF85" s="1683"/>
    </row>
    <row r="86" spans="1:58" s="14433" customFormat="1" ht="11.25" customHeight="1">
      <c r="A86" s="1047"/>
      <c r="B86" s="1047"/>
      <c r="C86" s="1047"/>
      <c r="D86" s="1041"/>
      <c r="E86" s="1051"/>
      <c r="F86" s="16335"/>
      <c r="G86" s="16248"/>
      <c r="H86" s="16248"/>
      <c r="I86" s="16321"/>
      <c r="J86" s="16298"/>
      <c r="K86" s="16322"/>
      <c r="L86" s="16314"/>
      <c r="M86" s="15974"/>
      <c r="N86" s="1058"/>
      <c r="O86" s="1058"/>
      <c r="P86" s="1049" t="s">
        <v>1974</v>
      </c>
      <c r="Q86" s="1058"/>
      <c r="R86" s="1058"/>
      <c r="S86" s="1058"/>
      <c r="T86" s="1058"/>
      <c r="U86" s="1058"/>
      <c r="V86" s="1058"/>
      <c r="W86" s="1058"/>
      <c r="X86" s="1058"/>
      <c r="Y86" s="1058"/>
      <c r="Z86" s="1058"/>
      <c r="AA86" s="1058"/>
      <c r="AB86" s="1058"/>
      <c r="AC86" s="1058"/>
      <c r="AD86" s="1058"/>
      <c r="AE86" s="1065"/>
      <c r="AF86" s="16313"/>
      <c r="AG86" s="16314"/>
      <c r="AH86" s="16314"/>
      <c r="AI86" s="16313"/>
      <c r="AJ86" s="16314"/>
      <c r="AK86" s="16314"/>
      <c r="AL86" s="1054"/>
      <c r="AM86" s="1683"/>
      <c r="AN86" s="1683"/>
      <c r="AO86" s="1683"/>
      <c r="AP86" s="1683"/>
      <c r="AQ86" s="1683"/>
      <c r="AR86" s="1683"/>
      <c r="AS86" s="1683"/>
      <c r="AT86" s="1683"/>
      <c r="AU86" s="1683"/>
      <c r="AV86" s="1683"/>
      <c r="AW86" s="1683"/>
      <c r="AX86" s="1683"/>
      <c r="AY86" s="1683"/>
      <c r="AZ86" s="1683"/>
      <c r="BA86" s="1683"/>
      <c r="BB86" s="1683"/>
      <c r="BC86" s="1683"/>
      <c r="BD86" s="1683"/>
      <c r="BE86" s="1683"/>
      <c r="BF86" s="1683"/>
    </row>
    <row r="87" spans="1:58" s="14433" customFormat="1" ht="12" customHeight="1">
      <c r="A87" s="1047"/>
      <c r="B87" s="1047"/>
      <c r="C87" s="1047"/>
      <c r="D87" s="1041"/>
      <c r="E87" s="1051"/>
      <c r="F87" s="16336"/>
      <c r="G87" s="1073"/>
      <c r="H87" s="1073"/>
      <c r="I87" s="16334" t="s">
        <v>1975</v>
      </c>
      <c r="J87" s="16334"/>
      <c r="K87" s="16334"/>
      <c r="L87" s="1055"/>
      <c r="M87" s="1055"/>
      <c r="N87" s="1056"/>
      <c r="O87" s="1056"/>
      <c r="P87" s="1056"/>
      <c r="Q87" s="1056"/>
      <c r="R87" s="1056"/>
      <c r="S87" s="1056"/>
      <c r="T87" s="1056"/>
      <c r="U87" s="1056"/>
      <c r="V87" s="1056"/>
      <c r="W87" s="1056"/>
      <c r="X87" s="1056"/>
      <c r="Y87" s="1056"/>
      <c r="Z87" s="1056"/>
      <c r="AA87" s="1056"/>
      <c r="AB87" s="1056"/>
      <c r="AC87" s="1056"/>
      <c r="AD87" s="1056"/>
      <c r="AE87" s="1056"/>
      <c r="AF87" s="1056"/>
      <c r="AG87" s="1055"/>
      <c r="AH87" s="1055"/>
      <c r="AI87" s="1056"/>
      <c r="AJ87" s="1055"/>
      <c r="AK87" s="1066"/>
      <c r="AL87" s="1054"/>
      <c r="AM87" s="1683"/>
      <c r="AN87" s="1683"/>
      <c r="AO87" s="1683"/>
      <c r="AP87" s="1683"/>
      <c r="AQ87" s="1683"/>
      <c r="AR87" s="1683"/>
      <c r="AS87" s="1683"/>
      <c r="AT87" s="1683"/>
      <c r="AU87" s="1683"/>
      <c r="AV87" s="1683"/>
      <c r="AW87" s="1683"/>
      <c r="AX87" s="1683"/>
      <c r="AY87" s="1683"/>
      <c r="AZ87" s="1683"/>
      <c r="BA87" s="1683"/>
      <c r="BB87" s="1683"/>
      <c r="BC87" s="1683"/>
      <c r="BD87" s="1683"/>
      <c r="BE87" s="1683"/>
      <c r="BF87" s="1683"/>
    </row>
    <row r="89" spans="1:58" s="15923" customFormat="1" ht="11.25" customHeight="1">
      <c r="A89" s="1677" t="s">
        <v>1976</v>
      </c>
    </row>
    <row r="91" spans="1:58" s="14433" customFormat="1" ht="11.25" customHeight="1">
      <c r="A91" s="1047"/>
      <c r="B91" s="1047"/>
      <c r="C91" s="1047"/>
      <c r="D91" s="1041"/>
      <c r="E91" s="1051"/>
      <c r="F91" s="1689"/>
      <c r="G91" s="1690"/>
      <c r="H91" s="1690"/>
      <c r="I91" s="1626"/>
      <c r="J91" s="1626"/>
      <c r="K91" s="1691"/>
      <c r="L91" s="1626"/>
      <c r="M91" s="1690"/>
      <c r="N91" s="16368"/>
      <c r="O91" s="16316">
        <v>1</v>
      </c>
      <c r="P91" s="16317" t="s">
        <v>56</v>
      </c>
      <c r="Q91" s="16230" t="s">
        <v>24</v>
      </c>
      <c r="R91" s="16230" t="s">
        <v>24</v>
      </c>
      <c r="S91" s="16230" t="s">
        <v>24</v>
      </c>
      <c r="T91" s="16230" t="s">
        <v>24</v>
      </c>
      <c r="U91" s="16230" t="s">
        <v>24</v>
      </c>
      <c r="V91" s="16230" t="s">
        <v>24</v>
      </c>
      <c r="W91" s="16230" t="s">
        <v>24</v>
      </c>
      <c r="X91" s="16230" t="s">
        <v>24</v>
      </c>
      <c r="Y91" s="16230"/>
      <c r="Z91" s="1057"/>
      <c r="AA91" s="1058"/>
      <c r="AB91" s="1058"/>
      <c r="AC91" s="1062"/>
      <c r="AD91" s="1062"/>
      <c r="AE91" s="1062"/>
      <c r="AF91" s="1692"/>
      <c r="AG91" s="1621"/>
      <c r="AH91" s="1621"/>
      <c r="AI91" s="1692"/>
      <c r="AJ91" s="1621"/>
      <c r="AK91" s="1621"/>
      <c r="AL91" s="1054"/>
      <c r="AM91" s="1683"/>
      <c r="AN91" s="1683"/>
      <c r="AO91" s="1683"/>
      <c r="AP91" s="1683"/>
      <c r="AQ91" s="1683"/>
      <c r="AR91" s="1683"/>
      <c r="AS91" s="1683"/>
      <c r="AT91" s="1683"/>
      <c r="AU91" s="1683"/>
      <c r="AV91" s="1683"/>
      <c r="AW91" s="1683"/>
      <c r="AX91" s="1683"/>
      <c r="AY91" s="1683"/>
      <c r="AZ91" s="1683"/>
      <c r="BA91" s="1683"/>
      <c r="BB91" s="1683"/>
      <c r="BC91" s="1683"/>
      <c r="BD91" s="1683"/>
      <c r="BE91" s="1683"/>
      <c r="BF91" s="1683"/>
    </row>
    <row r="92" spans="1:58" s="14433" customFormat="1" ht="11.25" customHeight="1">
      <c r="A92" s="1047"/>
      <c r="B92" s="1047"/>
      <c r="C92" s="1047"/>
      <c r="D92" s="1041"/>
      <c r="E92" s="1051"/>
      <c r="F92" s="1689"/>
      <c r="G92" s="1690"/>
      <c r="H92" s="1690"/>
      <c r="I92" s="1627"/>
      <c r="J92" s="1627"/>
      <c r="K92" s="1691"/>
      <c r="L92" s="1627"/>
      <c r="M92" s="1690"/>
      <c r="N92" s="16368"/>
      <c r="O92" s="16316"/>
      <c r="P92" s="16318"/>
      <c r="Q92" s="16230"/>
      <c r="R92" s="16230"/>
      <c r="S92" s="16320"/>
      <c r="T92" s="16230"/>
      <c r="U92" s="16230"/>
      <c r="V92" s="16230"/>
      <c r="W92" s="16230"/>
      <c r="X92" s="16230"/>
      <c r="Y92" s="16230"/>
      <c r="Z92" s="1688"/>
      <c r="AA92" s="1656">
        <v>1</v>
      </c>
      <c r="AB92" s="1061"/>
      <c r="AC92" s="1050"/>
      <c r="AD92" s="1061">
        <f>AB92</f>
        <v>0</v>
      </c>
      <c r="AE92" s="624"/>
      <c r="AF92" s="1691"/>
      <c r="AG92" s="1621"/>
      <c r="AH92" s="1621"/>
      <c r="AI92" s="1691"/>
      <c r="AJ92" s="1621"/>
      <c r="AK92" s="1621"/>
      <c r="AL92" s="1054"/>
      <c r="AM92" s="1683"/>
      <c r="AN92" s="1683"/>
      <c r="AO92" s="1683"/>
      <c r="AP92" s="1683"/>
      <c r="AQ92" s="1683"/>
      <c r="AR92" s="1683"/>
      <c r="AS92" s="1683"/>
      <c r="AT92" s="1683"/>
      <c r="AU92" s="1683"/>
      <c r="AV92" s="1683"/>
      <c r="AW92" s="1683"/>
      <c r="AX92" s="1683"/>
      <c r="AY92" s="1683"/>
      <c r="AZ92" s="1683"/>
      <c r="BA92" s="1683"/>
      <c r="BB92" s="1683"/>
      <c r="BC92" s="1683"/>
      <c r="BD92" s="1683"/>
      <c r="BE92" s="1683"/>
      <c r="BF92" s="1683"/>
    </row>
    <row r="93" spans="1:58" s="14433" customFormat="1" ht="11.25" customHeight="1">
      <c r="A93" s="1047"/>
      <c r="B93" s="1047"/>
      <c r="C93" s="1047"/>
      <c r="D93" s="1041"/>
      <c r="E93" s="1051"/>
      <c r="F93" s="1689"/>
      <c r="G93" s="1690"/>
      <c r="H93" s="1690"/>
      <c r="I93" s="1628"/>
      <c r="J93" s="1628"/>
      <c r="K93" s="1691"/>
      <c r="L93" s="1628"/>
      <c r="M93" s="1690"/>
      <c r="N93" s="16368"/>
      <c r="O93" s="16316"/>
      <c r="P93" s="16319"/>
      <c r="Q93" s="16230"/>
      <c r="R93" s="16230"/>
      <c r="S93" s="16320"/>
      <c r="T93" s="16230"/>
      <c r="U93" s="16230"/>
      <c r="V93" s="16230"/>
      <c r="W93" s="16230"/>
      <c r="X93" s="16230"/>
      <c r="Y93" s="16230"/>
      <c r="Z93" s="1057"/>
      <c r="AA93" s="1058"/>
      <c r="AB93" s="1123" t="s">
        <v>1973</v>
      </c>
      <c r="AC93" s="1062"/>
      <c r="AD93" s="1062"/>
      <c r="AE93" s="1062"/>
      <c r="AF93" s="1693"/>
      <c r="AG93" s="1621"/>
      <c r="AH93" s="1621"/>
      <c r="AI93" s="1693"/>
      <c r="AJ93" s="1621"/>
      <c r="AK93" s="1621"/>
      <c r="AL93" s="1054"/>
      <c r="AM93" s="1683"/>
      <c r="AN93" s="1683"/>
      <c r="AO93" s="1683"/>
      <c r="AP93" s="1683"/>
      <c r="AQ93" s="1683"/>
      <c r="AR93" s="1683"/>
      <c r="AS93" s="1683"/>
      <c r="AT93" s="1683"/>
      <c r="AU93" s="1683"/>
      <c r="AV93" s="1683"/>
      <c r="AW93" s="1683"/>
      <c r="AX93" s="1683"/>
      <c r="AY93" s="1683"/>
      <c r="AZ93" s="1683"/>
      <c r="BA93" s="1683"/>
      <c r="BB93" s="1683"/>
      <c r="BC93" s="1683"/>
      <c r="BD93" s="1683"/>
      <c r="BE93" s="1683"/>
      <c r="BF93" s="1683"/>
    </row>
    <row r="95" spans="1:58" s="15923" customFormat="1" ht="11.25" customHeight="1">
      <c r="A95" s="1677" t="s">
        <v>1977</v>
      </c>
    </row>
    <row r="97" spans="1:184" s="14433" customFormat="1" ht="11.25" customHeight="1">
      <c r="A97" s="1047"/>
      <c r="B97" s="1047"/>
      <c r="C97" s="1047"/>
      <c r="D97" s="1041"/>
      <c r="E97" s="1051"/>
      <c r="F97" s="1690"/>
      <c r="G97" s="1690"/>
      <c r="H97" s="1690"/>
      <c r="I97" s="1690"/>
      <c r="J97" s="1690"/>
      <c r="K97" s="1690"/>
      <c r="L97" s="1690"/>
      <c r="M97" s="1690"/>
      <c r="N97" s="1690"/>
      <c r="O97" s="1690"/>
      <c r="P97" s="1690"/>
      <c r="Q97" s="1690"/>
      <c r="R97" s="1690"/>
      <c r="S97" s="1690"/>
      <c r="T97" s="1690"/>
      <c r="U97" s="1690"/>
      <c r="V97" s="1690"/>
      <c r="W97" s="1690"/>
      <c r="X97" s="1690"/>
      <c r="Y97" s="1690"/>
      <c r="Z97" s="1694"/>
      <c r="AA97" s="1676">
        <v>1</v>
      </c>
      <c r="AB97" s="1061"/>
      <c r="AC97" s="1050"/>
      <c r="AD97" s="1061">
        <f>AB97</f>
        <v>0</v>
      </c>
      <c r="AE97" s="1050"/>
      <c r="AF97" s="1691"/>
      <c r="AG97" s="1621"/>
      <c r="AH97" s="1621"/>
      <c r="AI97" s="1691"/>
      <c r="AJ97" s="1621"/>
      <c r="AK97" s="1621"/>
      <c r="AL97" s="1054"/>
      <c r="AM97" s="1683"/>
      <c r="AN97" s="1683"/>
      <c r="AO97" s="1683"/>
      <c r="AP97" s="1683"/>
      <c r="AQ97" s="1683"/>
      <c r="AR97" s="1683"/>
      <c r="AS97" s="1683"/>
      <c r="AT97" s="1683"/>
      <c r="AU97" s="1683"/>
      <c r="AV97" s="1683"/>
      <c r="AW97" s="1683"/>
      <c r="AX97" s="1683"/>
      <c r="AY97" s="1683"/>
      <c r="AZ97" s="1683"/>
      <c r="BA97" s="1683"/>
      <c r="BB97" s="1683"/>
      <c r="BC97" s="1683"/>
      <c r="BD97" s="1683"/>
      <c r="BE97" s="1683"/>
      <c r="BF97" s="1683"/>
    </row>
    <row r="99" spans="1:184" s="15923" customFormat="1" ht="11.25" customHeight="1">
      <c r="A99" s="1677" t="s">
        <v>1978</v>
      </c>
    </row>
    <row r="101" spans="1:184" s="14433" customFormat="1" ht="11.25" customHeight="1">
      <c r="A101" s="1047"/>
      <c r="B101" s="1047"/>
      <c r="C101" s="1047"/>
      <c r="D101" s="1041"/>
      <c r="E101" s="1051"/>
      <c r="F101" s="1689"/>
      <c r="G101" s="1690"/>
      <c r="H101" s="16248" t="s">
        <v>147</v>
      </c>
      <c r="I101" s="16321"/>
      <c r="J101" s="16298"/>
      <c r="K101" s="16322"/>
      <c r="L101" s="16314" t="s">
        <v>56</v>
      </c>
      <c r="M101" s="15974"/>
      <c r="N101" s="1060"/>
      <c r="O101" s="1059" t="s">
        <v>513</v>
      </c>
      <c r="P101" s="1060"/>
      <c r="Q101" s="1060"/>
      <c r="R101" s="1060"/>
      <c r="S101" s="1060"/>
      <c r="T101" s="1060"/>
      <c r="U101" s="1060"/>
      <c r="V101" s="1060"/>
      <c r="W101" s="1060"/>
      <c r="X101" s="1060"/>
      <c r="Y101" s="1060"/>
      <c r="Z101" s="1060"/>
      <c r="AA101" s="1060"/>
      <c r="AB101" s="1060"/>
      <c r="AC101" s="1060"/>
      <c r="AD101" s="1060"/>
      <c r="AE101" s="1060"/>
      <c r="AF101" s="16313"/>
      <c r="AG101" s="16314"/>
      <c r="AH101" s="16314"/>
      <c r="AI101" s="16313"/>
      <c r="AJ101" s="16314"/>
      <c r="AK101" s="16314"/>
      <c r="AL101" s="1054"/>
      <c r="AM101" s="1683"/>
      <c r="AN101" s="1683"/>
      <c r="AO101" s="1683"/>
      <c r="AP101" s="1683"/>
      <c r="AQ101" s="1683"/>
      <c r="AR101" s="1683"/>
      <c r="AS101" s="1683"/>
      <c r="AT101" s="1683"/>
      <c r="AU101" s="1683"/>
      <c r="AV101" s="1683"/>
      <c r="AW101" s="1683"/>
      <c r="AX101" s="1683"/>
      <c r="AY101" s="1683"/>
      <c r="AZ101" s="1683"/>
      <c r="BA101" s="1683"/>
      <c r="BB101" s="1683"/>
      <c r="BC101" s="1683"/>
      <c r="BD101" s="1683"/>
      <c r="BE101" s="1683"/>
      <c r="BF101" s="1683"/>
    </row>
    <row r="102" spans="1:184" s="14433" customFormat="1" ht="11.25" customHeight="1">
      <c r="A102" s="1047"/>
      <c r="B102" s="1047"/>
      <c r="C102" s="1047"/>
      <c r="D102" s="1041"/>
      <c r="E102" s="1051"/>
      <c r="F102" s="1689"/>
      <c r="G102" s="1690"/>
      <c r="H102" s="16248"/>
      <c r="I102" s="16321"/>
      <c r="J102" s="16298"/>
      <c r="K102" s="16322"/>
      <c r="L102" s="16314"/>
      <c r="M102" s="15974"/>
      <c r="N102" s="16315"/>
      <c r="O102" s="16316">
        <v>1</v>
      </c>
      <c r="P102" s="16317" t="s">
        <v>56</v>
      </c>
      <c r="Q102" s="16230" t="s">
        <v>24</v>
      </c>
      <c r="R102" s="16230" t="s">
        <v>24</v>
      </c>
      <c r="S102" s="16230" t="s">
        <v>24</v>
      </c>
      <c r="T102" s="16230" t="s">
        <v>24</v>
      </c>
      <c r="U102" s="16230" t="s">
        <v>24</v>
      </c>
      <c r="V102" s="16230" t="s">
        <v>24</v>
      </c>
      <c r="W102" s="16230" t="s">
        <v>24</v>
      </c>
      <c r="X102" s="16230" t="s">
        <v>24</v>
      </c>
      <c r="Y102" s="16230"/>
      <c r="Z102" s="1057"/>
      <c r="AA102" s="1058"/>
      <c r="AB102" s="1058"/>
      <c r="AC102" s="1062"/>
      <c r="AD102" s="1062"/>
      <c r="AE102" s="1063"/>
      <c r="AF102" s="16313"/>
      <c r="AG102" s="16314"/>
      <c r="AH102" s="16314"/>
      <c r="AI102" s="16313"/>
      <c r="AJ102" s="16314"/>
      <c r="AK102" s="16314"/>
      <c r="AL102" s="1054"/>
      <c r="AM102" s="1683"/>
      <c r="AN102" s="1683"/>
      <c r="AO102" s="1683"/>
      <c r="AP102" s="1683"/>
      <c r="AQ102" s="1683"/>
      <c r="AR102" s="1683"/>
      <c r="AS102" s="1683"/>
      <c r="AT102" s="1683"/>
      <c r="AU102" s="1683"/>
      <c r="AV102" s="1683"/>
      <c r="AW102" s="1683"/>
      <c r="AX102" s="1683"/>
      <c r="AY102" s="1683"/>
      <c r="AZ102" s="1683"/>
      <c r="BA102" s="1683"/>
      <c r="BB102" s="1683"/>
      <c r="BC102" s="1683"/>
      <c r="BD102" s="1683"/>
      <c r="BE102" s="1683"/>
      <c r="BF102" s="1683"/>
    </row>
    <row r="103" spans="1:184" s="14433" customFormat="1" ht="11.25" customHeight="1">
      <c r="A103" s="1047"/>
      <c r="B103" s="1047"/>
      <c r="C103" s="1047"/>
      <c r="D103" s="1041"/>
      <c r="E103" s="1051"/>
      <c r="F103" s="1689"/>
      <c r="G103" s="1690"/>
      <c r="H103" s="16248"/>
      <c r="I103" s="16321"/>
      <c r="J103" s="16298"/>
      <c r="K103" s="16322"/>
      <c r="L103" s="16314"/>
      <c r="M103" s="15974"/>
      <c r="N103" s="16315"/>
      <c r="O103" s="16316"/>
      <c r="P103" s="16318"/>
      <c r="Q103" s="16230"/>
      <c r="R103" s="16230"/>
      <c r="S103" s="16320"/>
      <c r="T103" s="16230"/>
      <c r="U103" s="16230"/>
      <c r="V103" s="16230"/>
      <c r="W103" s="16230"/>
      <c r="X103" s="16230"/>
      <c r="Y103" s="16230"/>
      <c r="Z103" s="1688"/>
      <c r="AA103" s="1656">
        <v>1</v>
      </c>
      <c r="AB103" s="1061"/>
      <c r="AC103" s="1050"/>
      <c r="AD103" s="1061">
        <f>AB103</f>
        <v>0</v>
      </c>
      <c r="AE103" s="1050"/>
      <c r="AF103" s="16313"/>
      <c r="AG103" s="16314"/>
      <c r="AH103" s="16314"/>
      <c r="AI103" s="16313"/>
      <c r="AJ103" s="16314"/>
      <c r="AK103" s="16314"/>
      <c r="AL103" s="1054"/>
      <c r="AM103" s="1683"/>
      <c r="AN103" s="1683"/>
      <c r="AO103" s="1683"/>
      <c r="AP103" s="1683"/>
      <c r="AQ103" s="1683"/>
      <c r="AR103" s="1683"/>
      <c r="AS103" s="1683"/>
      <c r="AT103" s="1683"/>
      <c r="AU103" s="1683"/>
      <c r="AV103" s="1683"/>
      <c r="AW103" s="1683"/>
      <c r="AX103" s="1683"/>
      <c r="AY103" s="1683"/>
      <c r="AZ103" s="1683"/>
      <c r="BA103" s="1683"/>
      <c r="BB103" s="1683"/>
      <c r="BC103" s="1683"/>
      <c r="BD103" s="1683"/>
      <c r="BE103" s="1683"/>
      <c r="BF103" s="1683"/>
    </row>
    <row r="104" spans="1:184" s="14433" customFormat="1" ht="11.25" customHeight="1">
      <c r="A104" s="1047"/>
      <c r="B104" s="1047"/>
      <c r="C104" s="1047"/>
      <c r="D104" s="1041"/>
      <c r="E104" s="1051"/>
      <c r="F104" s="1689"/>
      <c r="G104" s="1690"/>
      <c r="H104" s="16248"/>
      <c r="I104" s="16321"/>
      <c r="J104" s="16298"/>
      <c r="K104" s="16322"/>
      <c r="L104" s="16314"/>
      <c r="M104" s="15974"/>
      <c r="N104" s="16315"/>
      <c r="O104" s="16316"/>
      <c r="P104" s="16319"/>
      <c r="Q104" s="16230"/>
      <c r="R104" s="16230"/>
      <c r="S104" s="16320"/>
      <c r="T104" s="16230"/>
      <c r="U104" s="16230"/>
      <c r="V104" s="16230"/>
      <c r="W104" s="16230"/>
      <c r="X104" s="16230"/>
      <c r="Y104" s="16230"/>
      <c r="Z104" s="1057"/>
      <c r="AA104" s="1058"/>
      <c r="AB104" s="1123" t="s">
        <v>1973</v>
      </c>
      <c r="AC104" s="1062"/>
      <c r="AD104" s="1062"/>
      <c r="AE104" s="1064"/>
      <c r="AF104" s="16313"/>
      <c r="AG104" s="16314"/>
      <c r="AH104" s="16314"/>
      <c r="AI104" s="16313"/>
      <c r="AJ104" s="16314"/>
      <c r="AK104" s="16314"/>
      <c r="AL104" s="1054"/>
      <c r="AM104" s="1683"/>
      <c r="AN104" s="1683"/>
      <c r="AO104" s="1683"/>
      <c r="AP104" s="1683"/>
      <c r="AQ104" s="1683"/>
      <c r="AR104" s="1683"/>
      <c r="AS104" s="1683"/>
      <c r="AT104" s="1683"/>
      <c r="AU104" s="1683"/>
      <c r="AV104" s="1683"/>
      <c r="AW104" s="1683"/>
      <c r="AX104" s="1683"/>
      <c r="AY104" s="1683"/>
      <c r="AZ104" s="1683"/>
      <c r="BA104" s="1683"/>
      <c r="BB104" s="1683"/>
      <c r="BC104" s="1683"/>
      <c r="BD104" s="1683"/>
      <c r="BE104" s="1683"/>
      <c r="BF104" s="1683"/>
    </row>
    <row r="105" spans="1:184" s="14433" customFormat="1" ht="11.25" customHeight="1">
      <c r="A105" s="1047"/>
      <c r="B105" s="1047"/>
      <c r="C105" s="1047"/>
      <c r="D105" s="1041"/>
      <c r="E105" s="1051"/>
      <c r="F105" s="1689"/>
      <c r="G105" s="1690"/>
      <c r="H105" s="16248"/>
      <c r="I105" s="16321"/>
      <c r="J105" s="16298"/>
      <c r="K105" s="16322"/>
      <c r="L105" s="16314"/>
      <c r="M105" s="15974"/>
      <c r="N105" s="1058"/>
      <c r="O105" s="1058"/>
      <c r="P105" s="1049" t="s">
        <v>1974</v>
      </c>
      <c r="Q105" s="1058"/>
      <c r="R105" s="1058"/>
      <c r="S105" s="1058"/>
      <c r="T105" s="1058"/>
      <c r="U105" s="1058"/>
      <c r="V105" s="1058"/>
      <c r="W105" s="1058"/>
      <c r="X105" s="1058"/>
      <c r="Y105" s="1058"/>
      <c r="Z105" s="1058"/>
      <c r="AA105" s="1058"/>
      <c r="AB105" s="1058"/>
      <c r="AC105" s="1058"/>
      <c r="AD105" s="1058"/>
      <c r="AE105" s="1065"/>
      <c r="AF105" s="16313"/>
      <c r="AG105" s="16314"/>
      <c r="AH105" s="16314"/>
      <c r="AI105" s="16313"/>
      <c r="AJ105" s="16314"/>
      <c r="AK105" s="16314"/>
      <c r="AL105" s="1054"/>
      <c r="AM105" s="1683"/>
      <c r="AN105" s="1683"/>
      <c r="AO105" s="1683"/>
      <c r="AP105" s="1683"/>
      <c r="AQ105" s="1683"/>
      <c r="AR105" s="1683"/>
      <c r="AS105" s="1683"/>
      <c r="AT105" s="1683"/>
      <c r="AU105" s="1683"/>
      <c r="AV105" s="1683"/>
      <c r="AW105" s="1683"/>
      <c r="AX105" s="1683"/>
      <c r="AY105" s="1683"/>
      <c r="AZ105" s="1683"/>
      <c r="BA105" s="1683"/>
      <c r="BB105" s="1683"/>
      <c r="BC105" s="1683"/>
      <c r="BD105" s="1683"/>
      <c r="BE105" s="1683"/>
      <c r="BF105" s="1683"/>
    </row>
    <row r="107" spans="1:184" s="15923" customFormat="1" ht="11.25" customHeight="1">
      <c r="A107" s="1677" t="s">
        <v>1979</v>
      </c>
    </row>
    <row r="108" spans="1:184" ht="17.25" customHeight="1"/>
    <row r="109" spans="1:184" s="15877" customFormat="1" ht="21" customHeight="1">
      <c r="A109" s="1048"/>
      <c r="B109" s="830"/>
      <c r="D109" s="817"/>
      <c r="E109" s="829" t="s">
        <v>24</v>
      </c>
      <c r="F109" s="1005" t="e">
        <f>INDEX(IP_MAIN_LIST_NAME_IP,MATCH(A109,IP_MAIN_LIST_IP_ID,0))&amp;" ("&amp;INDEX(IP_MAIN_START_DATE,MATCH(A109,IP_MAIN_LIST_IP_ID,0))&amp;"-"&amp;INDEX(IP_MAIN_END_DATE,MATCH(A109,IP_MAIN_LIST_IP_ID,0))&amp;")"</f>
        <v>#N/A</v>
      </c>
      <c r="G109" s="1086"/>
      <c r="H109" s="1087"/>
      <c r="I109" s="1087"/>
      <c r="J109" s="1087"/>
      <c r="K109" s="1087"/>
      <c r="L109" s="1087"/>
      <c r="M109" s="1087"/>
      <c r="N109" s="1087"/>
      <c r="O109" s="1086"/>
      <c r="P109" s="1086"/>
      <c r="Q109" s="1086"/>
      <c r="R109" s="1086"/>
      <c r="S109" s="1086"/>
      <c r="T109" s="1086"/>
      <c r="U109" s="1088"/>
      <c r="V109" s="1088"/>
      <c r="W109" s="1088"/>
      <c r="X109" s="1088"/>
      <c r="Y109" s="1088"/>
      <c r="Z109" s="1088"/>
      <c r="AA109" s="1088"/>
      <c r="AB109" s="1086"/>
      <c r="AC109" s="1087"/>
      <c r="AD109" s="1087"/>
      <c r="AE109" s="1087"/>
      <c r="AF109" s="1087"/>
      <c r="AG109" s="1087"/>
      <c r="AH109" s="1087"/>
      <c r="AI109" s="1087"/>
      <c r="AJ109" s="1087"/>
      <c r="AK109" s="1087"/>
      <c r="AL109" s="1087"/>
      <c r="AM109" s="1087"/>
      <c r="AN109" s="1087"/>
      <c r="AO109" s="1087"/>
      <c r="AP109" s="1087"/>
      <c r="AQ109" s="1087"/>
      <c r="AR109" s="1087"/>
      <c r="AS109" s="1087"/>
      <c r="AT109" s="1087"/>
      <c r="AU109" s="1087"/>
      <c r="AV109" s="1087"/>
      <c r="AW109" s="1087"/>
      <c r="AX109" s="1087"/>
      <c r="AY109" s="1087"/>
      <c r="AZ109" s="1087"/>
      <c r="BA109" s="1087"/>
      <c r="BB109" s="1087"/>
      <c r="BC109" s="1087"/>
      <c r="BD109" s="1087"/>
      <c r="BE109" s="1087"/>
      <c r="BF109" s="1087"/>
      <c r="BG109" s="1087"/>
      <c r="BH109" s="1087"/>
      <c r="BI109" s="1087"/>
      <c r="BJ109" s="1087"/>
      <c r="BK109" s="1087"/>
      <c r="BL109" s="1087"/>
      <c r="BM109" s="1087"/>
      <c r="BN109" s="1087"/>
      <c r="BO109" s="1087"/>
      <c r="BP109" s="1087"/>
      <c r="BQ109" s="1087"/>
      <c r="BR109" s="1087"/>
      <c r="BS109" s="1087"/>
      <c r="BT109" s="1087"/>
      <c r="BU109" s="1087"/>
      <c r="BV109" s="1087"/>
      <c r="BW109" s="1087"/>
      <c r="BX109" s="1087"/>
      <c r="BY109" s="1087"/>
      <c r="BZ109" s="1087"/>
      <c r="CA109" s="1087"/>
      <c r="CB109" s="1087"/>
      <c r="CC109" s="1087"/>
      <c r="CD109" s="1087"/>
      <c r="CE109" s="1087"/>
      <c r="CF109" s="1087"/>
      <c r="CG109" s="1087"/>
      <c r="CH109" s="1087"/>
      <c r="CI109" s="1087"/>
      <c r="CJ109" s="1087"/>
      <c r="CK109" s="1087"/>
      <c r="CL109" s="1089"/>
      <c r="CM109" s="1089"/>
      <c r="CN109" s="1089"/>
      <c r="CO109" s="1089"/>
      <c r="CP109" s="1089"/>
      <c r="CQ109" s="1089"/>
      <c r="CR109" s="1089"/>
      <c r="CS109" s="1089"/>
      <c r="CT109" s="1089"/>
      <c r="CU109" s="1089"/>
      <c r="CV109" s="1089"/>
      <c r="CW109" s="1089"/>
      <c r="CX109" s="1089"/>
      <c r="CY109" s="1089"/>
      <c r="CZ109" s="1089"/>
      <c r="DA109" s="1089"/>
      <c r="DB109" s="1089"/>
      <c r="DC109" s="1089"/>
      <c r="DD109" s="1089"/>
      <c r="DE109" s="1089"/>
      <c r="DF109" s="1089"/>
      <c r="DG109" s="1089"/>
      <c r="DH109" s="1089"/>
      <c r="DI109" s="1089"/>
      <c r="DJ109" s="1089"/>
      <c r="DK109" s="1089"/>
      <c r="DL109" s="1089"/>
      <c r="DM109" s="1089"/>
      <c r="DN109" s="1089"/>
      <c r="DO109" s="1089"/>
      <c r="DP109" s="1089"/>
      <c r="DQ109" s="1089"/>
      <c r="DR109" s="1089"/>
      <c r="DS109" s="1089"/>
      <c r="DT109" s="1089"/>
      <c r="DU109" s="1089"/>
      <c r="DV109" s="1089"/>
      <c r="DW109" s="1089"/>
      <c r="DX109" s="1089"/>
      <c r="DY109" s="1089"/>
      <c r="DZ109" s="1089"/>
      <c r="EA109" s="1089"/>
      <c r="EB109" s="1089"/>
      <c r="EC109" s="1089"/>
      <c r="ED109" s="1089"/>
      <c r="EE109" s="1089"/>
      <c r="EF109" s="1089"/>
      <c r="EG109" s="1089"/>
      <c r="EH109" s="1089"/>
      <c r="EI109" s="1089"/>
      <c r="EJ109" s="1089"/>
      <c r="EK109" s="1089"/>
      <c r="EL109" s="1089"/>
      <c r="EM109" s="1089"/>
      <c r="EN109" s="1089"/>
      <c r="EO109" s="1089"/>
      <c r="EP109" s="1089"/>
      <c r="EQ109" s="1089"/>
      <c r="ER109" s="1089"/>
      <c r="ES109" s="1089"/>
      <c r="ET109" s="1089"/>
      <c r="EU109" s="1089"/>
      <c r="EV109" s="1089"/>
      <c r="EW109" s="1089"/>
      <c r="EX109" s="1089"/>
      <c r="EY109" s="1089"/>
      <c r="EZ109" s="1089"/>
      <c r="FA109" s="1089"/>
      <c r="FB109" s="1089"/>
      <c r="FC109" s="1089"/>
      <c r="FD109" s="1089"/>
      <c r="FE109" s="1089"/>
      <c r="FF109" s="1089"/>
      <c r="FG109" s="1089"/>
      <c r="FH109" s="1089"/>
      <c r="FI109" s="1089"/>
      <c r="FJ109" s="1089"/>
      <c r="FK109" s="1089"/>
      <c r="FL109" s="1089"/>
      <c r="FM109" s="1089"/>
      <c r="FN109" s="1089"/>
      <c r="FO109" s="1089"/>
      <c r="FP109" s="1089"/>
      <c r="FQ109" s="1089"/>
      <c r="FR109" s="1089"/>
      <c r="FS109" s="1089"/>
      <c r="FT109" s="1089"/>
      <c r="FU109" s="1089"/>
      <c r="FV109" s="1090"/>
      <c r="FW109" s="1084"/>
      <c r="FX109" s="1085"/>
    </row>
    <row r="110" spans="1:184" s="15877" customFormat="1" ht="24.75" customHeight="1">
      <c r="B110" s="816"/>
      <c r="C110" s="817"/>
      <c r="D110" s="817"/>
      <c r="E110" s="1695"/>
      <c r="F110" s="1091">
        <v>1</v>
      </c>
      <c r="G110" s="1092"/>
      <c r="H110" s="1093"/>
      <c r="I110" s="1843"/>
      <c r="J110" s="1094"/>
      <c r="K110" s="1094"/>
      <c r="L110" s="1094"/>
      <c r="M110" s="1094"/>
      <c r="N110" s="1094"/>
      <c r="O110" s="1095"/>
      <c r="P110" s="1095"/>
      <c r="Q110" s="1095"/>
      <c r="R110" s="1095"/>
      <c r="S110" s="1095"/>
      <c r="T110" s="1095"/>
      <c r="U110" s="1095"/>
      <c r="V110" s="1095"/>
      <c r="W110" s="1095"/>
      <c r="X110" s="1095"/>
      <c r="Y110" s="1095"/>
      <c r="Z110" s="1095"/>
      <c r="AA110" s="1095"/>
      <c r="AB110" s="1095"/>
      <c r="AC110" s="1094"/>
      <c r="AD110" s="1094"/>
      <c r="AE110" s="1094"/>
      <c r="AF110" s="1094"/>
      <c r="AG110" s="1094"/>
      <c r="AH110" s="1094"/>
      <c r="AI110" s="1094"/>
      <c r="AJ110" s="1094"/>
      <c r="AK110" s="1094"/>
      <c r="AL110" s="1094"/>
      <c r="AM110" s="1094"/>
      <c r="AN110" s="1094"/>
      <c r="AO110" s="1094"/>
      <c r="AP110" s="1094"/>
      <c r="AQ110" s="1094"/>
      <c r="AR110" s="1094"/>
      <c r="AS110" s="1094"/>
      <c r="AT110" s="1094"/>
      <c r="AU110" s="1094"/>
      <c r="AV110" s="1094"/>
      <c r="AW110" s="1094"/>
      <c r="AX110" s="1094"/>
      <c r="AY110" s="1094"/>
      <c r="AZ110" s="1094"/>
      <c r="BA110" s="1094"/>
      <c r="BB110" s="1094"/>
      <c r="BC110" s="1094"/>
      <c r="BD110" s="1094"/>
      <c r="BE110" s="1094"/>
      <c r="BF110" s="1094"/>
      <c r="BG110" s="1094"/>
      <c r="BH110" s="1094"/>
      <c r="BI110" s="1094"/>
      <c r="BJ110" s="1094"/>
      <c r="BK110" s="1094"/>
      <c r="BL110" s="1094"/>
      <c r="BM110" s="1094"/>
      <c r="BN110" s="1094"/>
      <c r="BO110" s="1094"/>
      <c r="BP110" s="1094"/>
      <c r="BQ110" s="1094"/>
      <c r="BR110" s="1094"/>
      <c r="BS110" s="1094"/>
      <c r="BT110" s="1095"/>
      <c r="BU110" s="1095"/>
      <c r="BV110" s="1095"/>
      <c r="BW110" s="1095"/>
      <c r="BX110" s="1095"/>
      <c r="BY110" s="1095"/>
      <c r="BZ110" s="1095"/>
      <c r="CA110" s="1095"/>
      <c r="CB110" s="1095"/>
      <c r="CC110" s="1095"/>
      <c r="CD110" s="1095"/>
      <c r="CE110" s="1095"/>
      <c r="CF110" s="1095"/>
      <c r="CG110" s="1095"/>
      <c r="CH110" s="1095"/>
      <c r="CI110" s="1095"/>
      <c r="CJ110" s="1095"/>
      <c r="CK110" s="1095"/>
      <c r="CL110" s="1094"/>
      <c r="CM110" s="1094"/>
      <c r="CN110" s="1094"/>
      <c r="CO110" s="1094"/>
      <c r="CP110" s="1094"/>
      <c r="CQ110" s="1094"/>
      <c r="CR110" s="1094"/>
      <c r="CS110" s="1094"/>
      <c r="CT110" s="1094"/>
      <c r="CU110" s="1094"/>
      <c r="CV110" s="1094"/>
      <c r="CW110" s="1094"/>
      <c r="CX110" s="1094"/>
      <c r="CY110" s="1095"/>
      <c r="CZ110" s="1095"/>
      <c r="DA110" s="1095"/>
      <c r="DB110" s="1095"/>
      <c r="DC110" s="1095"/>
      <c r="DD110" s="1095"/>
      <c r="DE110" s="1095"/>
      <c r="DF110" s="1095"/>
      <c r="DG110" s="1095"/>
      <c r="DH110" s="1095"/>
      <c r="DI110" s="1095"/>
      <c r="DJ110" s="1095"/>
      <c r="DK110" s="1094"/>
      <c r="DL110" s="1094"/>
      <c r="DM110" s="1094"/>
      <c r="DN110" s="1094"/>
      <c r="DO110" s="1094"/>
      <c r="DP110" s="1094"/>
      <c r="DQ110" s="1094"/>
      <c r="DR110" s="1094"/>
      <c r="DS110" s="1094"/>
      <c r="DT110" s="1094"/>
      <c r="DU110" s="1094"/>
      <c r="DV110" s="1094"/>
      <c r="DW110" s="1094"/>
      <c r="DX110" s="1094"/>
      <c r="DY110" s="1094"/>
      <c r="DZ110" s="1094"/>
      <c r="EA110" s="1094"/>
      <c r="EB110" s="1094"/>
      <c r="EC110" s="1094"/>
      <c r="ED110" s="1094"/>
      <c r="EE110" s="1094"/>
      <c r="EF110" s="1094"/>
      <c r="EG110" s="1094"/>
      <c r="EH110" s="1094"/>
      <c r="EI110" s="1094"/>
      <c r="EJ110" s="1094"/>
      <c r="EK110" s="1094"/>
      <c r="EL110" s="1094"/>
      <c r="EM110" s="1094"/>
      <c r="EN110" s="1094"/>
      <c r="EO110" s="1094"/>
      <c r="EP110" s="1094"/>
      <c r="EQ110" s="1094"/>
      <c r="ER110" s="1094"/>
      <c r="ES110" s="1094"/>
      <c r="ET110" s="1094"/>
      <c r="EU110" s="1094"/>
      <c r="EV110" s="1094"/>
      <c r="EW110" s="1094"/>
      <c r="EX110" s="1094"/>
      <c r="EY110" s="1094"/>
      <c r="EZ110" s="1094"/>
      <c r="FA110" s="1094"/>
      <c r="FB110" s="1094"/>
      <c r="FC110" s="1094"/>
      <c r="FD110" s="1094"/>
      <c r="FE110" s="1094"/>
      <c r="FF110" s="1094"/>
      <c r="FG110" s="1094"/>
      <c r="FH110" s="1094"/>
      <c r="FI110" s="1094"/>
      <c r="FJ110" s="1094"/>
      <c r="FK110" s="1094"/>
      <c r="FL110" s="1094"/>
      <c r="FM110" s="1094"/>
      <c r="FN110" s="1094"/>
      <c r="FO110" s="1094"/>
      <c r="FP110" s="1094"/>
      <c r="FQ110" s="1094"/>
      <c r="FR110" s="1094"/>
      <c r="FS110" s="1094"/>
      <c r="FT110" s="1094"/>
      <c r="FU110" s="1094"/>
      <c r="FV110" s="1094"/>
      <c r="FW110" s="1094"/>
      <c r="FX110" s="1085"/>
    </row>
    <row r="111" spans="1:184" s="15877" customFormat="1" ht="12" customHeight="1">
      <c r="A111" s="817"/>
      <c r="B111" s="816"/>
      <c r="C111" s="817"/>
      <c r="D111" s="817"/>
      <c r="E111" s="817"/>
      <c r="F111" s="1096"/>
      <c r="G111" s="1662" t="s">
        <v>1980</v>
      </c>
      <c r="H111" s="1097"/>
      <c r="I111" s="1097"/>
      <c r="J111" s="1097"/>
      <c r="K111" s="1097"/>
      <c r="L111" s="1097"/>
      <c r="M111" s="1097"/>
      <c r="N111" s="1097"/>
      <c r="O111" s="1097"/>
      <c r="P111" s="1097"/>
      <c r="Q111" s="1097"/>
      <c r="R111" s="1097"/>
      <c r="S111" s="1097"/>
      <c r="T111" s="1097"/>
      <c r="U111" s="1097"/>
      <c r="V111" s="1097"/>
      <c r="W111" s="1097"/>
      <c r="X111" s="1097"/>
      <c r="Y111" s="1097"/>
      <c r="Z111" s="1097"/>
      <c r="AA111" s="1097"/>
      <c r="AB111" s="1097"/>
      <c r="AC111" s="1097"/>
      <c r="AD111" s="1097"/>
      <c r="AE111" s="1097"/>
      <c r="AF111" s="1097"/>
      <c r="AG111" s="1097"/>
      <c r="AH111" s="1097"/>
      <c r="AI111" s="1097"/>
      <c r="AJ111" s="1097"/>
      <c r="AK111" s="1097"/>
      <c r="AL111" s="1097"/>
      <c r="AM111" s="1097"/>
      <c r="AN111" s="1097"/>
      <c r="AO111" s="1097"/>
      <c r="AP111" s="1097"/>
      <c r="AQ111" s="1097"/>
      <c r="AR111" s="1097"/>
      <c r="AS111" s="1097"/>
      <c r="AT111" s="1097"/>
      <c r="AU111" s="1097"/>
      <c r="AV111" s="1097"/>
      <c r="AW111" s="1097"/>
      <c r="AX111" s="1097"/>
      <c r="AY111" s="1097"/>
      <c r="AZ111" s="1097"/>
      <c r="BA111" s="1097"/>
      <c r="BB111" s="1097"/>
      <c r="BC111" s="1097"/>
      <c r="BD111" s="1097"/>
      <c r="BE111" s="1097"/>
      <c r="BF111" s="1097"/>
      <c r="BG111" s="1097"/>
      <c r="BH111" s="1097"/>
      <c r="BI111" s="1097"/>
      <c r="BJ111" s="1097"/>
      <c r="BK111" s="1097"/>
      <c r="BL111" s="1097"/>
      <c r="BM111" s="1097"/>
      <c r="BN111" s="1097"/>
      <c r="BO111" s="1097"/>
      <c r="BP111" s="1097"/>
      <c r="BQ111" s="1097"/>
      <c r="BR111" s="1097"/>
      <c r="BS111" s="1097"/>
      <c r="BT111" s="1097"/>
      <c r="BU111" s="1097"/>
      <c r="BV111" s="1097"/>
      <c r="BW111" s="1097"/>
      <c r="BX111" s="1097"/>
      <c r="BY111" s="1097"/>
      <c r="BZ111" s="1097"/>
      <c r="CA111" s="1097"/>
      <c r="CB111" s="1097"/>
      <c r="CC111" s="1097"/>
      <c r="CD111" s="1097"/>
      <c r="CE111" s="1097"/>
      <c r="CF111" s="1097"/>
      <c r="CG111" s="1097"/>
      <c r="CH111" s="1097"/>
      <c r="CI111" s="1097"/>
      <c r="CJ111" s="1097"/>
      <c r="CK111" s="1097"/>
      <c r="CL111" s="1097"/>
      <c r="CM111" s="1097"/>
      <c r="CN111" s="1097"/>
      <c r="CO111" s="1097"/>
      <c r="CP111" s="1097"/>
      <c r="CQ111" s="1097"/>
      <c r="CR111" s="1097"/>
      <c r="CS111" s="1097"/>
      <c r="CT111" s="1097"/>
      <c r="CU111" s="1097"/>
      <c r="CV111" s="1097"/>
      <c r="CW111" s="1097"/>
      <c r="CX111" s="1097"/>
      <c r="CY111" s="1097"/>
      <c r="CZ111" s="1097"/>
      <c r="DA111" s="1097"/>
      <c r="DB111" s="1097"/>
      <c r="DC111" s="1097"/>
      <c r="DD111" s="1097"/>
      <c r="DE111" s="1097"/>
      <c r="DF111" s="1097"/>
      <c r="DG111" s="1097"/>
      <c r="DH111" s="1097"/>
      <c r="DI111" s="1097"/>
      <c r="DJ111" s="1097"/>
      <c r="DK111" s="1097"/>
      <c r="DL111" s="1097"/>
      <c r="DM111" s="1097"/>
      <c r="DN111" s="1097"/>
      <c r="DO111" s="1097"/>
      <c r="DP111" s="1097"/>
      <c r="DQ111" s="1097"/>
      <c r="DR111" s="1097"/>
      <c r="DS111" s="1097"/>
      <c r="DT111" s="1097"/>
      <c r="DU111" s="1097"/>
      <c r="DV111" s="1097"/>
      <c r="DW111" s="1097"/>
      <c r="DX111" s="1097"/>
      <c r="DY111" s="1097"/>
      <c r="DZ111" s="1097"/>
      <c r="EA111" s="1097"/>
      <c r="EB111" s="1097"/>
      <c r="EC111" s="1097"/>
      <c r="ED111" s="1097"/>
      <c r="EE111" s="1097"/>
      <c r="EF111" s="1097"/>
      <c r="EG111" s="1097"/>
      <c r="EH111" s="1097"/>
      <c r="EI111" s="1097"/>
      <c r="EJ111" s="1097"/>
      <c r="EK111" s="1097"/>
      <c r="EL111" s="1097"/>
      <c r="EM111" s="1097"/>
      <c r="EN111" s="1097"/>
      <c r="EO111" s="1097"/>
      <c r="EP111" s="1097"/>
      <c r="EQ111" s="1097"/>
      <c r="ER111" s="1097"/>
      <c r="ES111" s="1097"/>
      <c r="ET111" s="1097"/>
      <c r="EU111" s="1097"/>
      <c r="EV111" s="1097"/>
      <c r="EW111" s="1097"/>
      <c r="EX111" s="1097"/>
      <c r="EY111" s="1097"/>
      <c r="EZ111" s="1097"/>
      <c r="FA111" s="1097"/>
      <c r="FB111" s="1097"/>
      <c r="FC111" s="1097"/>
      <c r="FD111" s="1097"/>
      <c r="FE111" s="1097"/>
      <c r="FF111" s="1097"/>
      <c r="FG111" s="1097"/>
      <c r="FH111" s="1097"/>
      <c r="FI111" s="1097"/>
      <c r="FJ111" s="1097"/>
      <c r="FK111" s="1097"/>
      <c r="FL111" s="1097"/>
      <c r="FM111" s="1097"/>
      <c r="FN111" s="1097"/>
      <c r="FO111" s="1097"/>
      <c r="FP111" s="1097"/>
      <c r="FQ111" s="1097"/>
      <c r="FR111" s="1097"/>
      <c r="FS111" s="1097"/>
      <c r="FT111" s="1097"/>
      <c r="FU111" s="1097"/>
      <c r="FV111" s="1097"/>
      <c r="FW111" s="1098"/>
      <c r="FX111" s="1099"/>
      <c r="FY111" s="831"/>
      <c r="FZ111" s="831"/>
      <c r="GA111" s="831"/>
      <c r="GB111" s="831"/>
    </row>
    <row r="113" spans="1:83" s="15923" customFormat="1" ht="11.25" customHeight="1">
      <c r="A113" s="1677" t="s">
        <v>1981</v>
      </c>
    </row>
    <row r="115" spans="1:83" s="14359" customFormat="1" ht="15" customHeight="1">
      <c r="A115" s="525"/>
      <c r="B115" s="526"/>
      <c r="C115" s="526"/>
      <c r="D115" s="16358" t="s">
        <v>147</v>
      </c>
      <c r="E115" s="16211" t="s">
        <v>143</v>
      </c>
      <c r="F115" s="16212"/>
      <c r="G115" s="16213"/>
      <c r="H115" s="16217" t="str">
        <f>IF(A115="","",INDEX(DIFFERENTIATION_UNMERGE_VD,MATCH(A115,DIFFERENTIATION_ID_DIFF,0)))</f>
        <v/>
      </c>
      <c r="I115" s="16217"/>
      <c r="J115" s="16217"/>
      <c r="K115" s="16217"/>
      <c r="L115" s="16217"/>
      <c r="M115" s="16217"/>
      <c r="N115" s="16217"/>
      <c r="O115" s="16217"/>
      <c r="P115" s="16217"/>
      <c r="Q115" s="16217"/>
      <c r="R115" s="16217"/>
      <c r="S115" s="619"/>
      <c r="T115" s="616"/>
      <c r="U115" s="527"/>
      <c r="V115" s="527"/>
      <c r="W115" s="528"/>
      <c r="X115" s="528"/>
      <c r="Y115" s="528"/>
      <c r="Z115" s="528"/>
      <c r="AA115" s="529"/>
      <c r="AB115" s="530"/>
      <c r="AC115" s="16209"/>
      <c r="AD115" s="531"/>
      <c r="AE115" s="532" t="s">
        <v>24</v>
      </c>
      <c r="AF115" s="532"/>
      <c r="AG115" s="533" t="s">
        <v>747</v>
      </c>
      <c r="AH115" s="534">
        <v>3</v>
      </c>
      <c r="AI115" s="527"/>
      <c r="AJ115" s="527"/>
      <c r="AK115" s="527"/>
      <c r="AL115" s="527"/>
      <c r="AM115" s="527"/>
      <c r="AN115" s="527"/>
      <c r="AO115" s="527"/>
      <c r="AP115" s="527"/>
      <c r="AQ115" s="527"/>
      <c r="AR115" s="527"/>
      <c r="AS115" s="527"/>
      <c r="AT115" s="527"/>
      <c r="AU115" s="527"/>
      <c r="AV115" s="527"/>
      <c r="AW115" s="527"/>
      <c r="AX115" s="527"/>
      <c r="AY115" s="527"/>
      <c r="AZ115" s="527"/>
      <c r="BA115" s="527"/>
      <c r="BB115" s="527"/>
      <c r="BC115" s="527"/>
      <c r="BD115" s="527"/>
      <c r="BE115" s="527"/>
      <c r="BF115" s="527"/>
      <c r="BG115" s="527"/>
      <c r="BH115" s="527"/>
      <c r="BI115" s="527"/>
      <c r="BJ115" s="527"/>
      <c r="BK115" s="527"/>
      <c r="BL115" s="527"/>
      <c r="BM115" s="527"/>
      <c r="BN115" s="527"/>
      <c r="BO115" s="527"/>
      <c r="BP115" s="527"/>
      <c r="BQ115" s="527"/>
      <c r="BR115" s="527"/>
      <c r="BS115" s="527"/>
      <c r="BT115" s="527"/>
      <c r="BU115" s="527"/>
      <c r="BV115" s="528"/>
      <c r="BW115" s="528"/>
      <c r="BX115" s="528"/>
      <c r="BY115" s="528"/>
      <c r="BZ115" s="528"/>
      <c r="CA115" s="528"/>
      <c r="CB115" s="528"/>
      <c r="CC115" s="528"/>
      <c r="CD115" s="528"/>
      <c r="CE115" s="528"/>
    </row>
    <row r="116" spans="1:83" s="14359" customFormat="1" ht="15" customHeight="1">
      <c r="A116" s="525"/>
      <c r="B116" s="526"/>
      <c r="C116" s="526"/>
      <c r="D116" s="16359"/>
      <c r="E116" s="16211" t="s">
        <v>702</v>
      </c>
      <c r="F116" s="16212"/>
      <c r="G116" s="16213"/>
      <c r="H116" s="16217" t="str">
        <f>IF(A115="","",INDEX(DIFFERENTIATION_UNMERGE_AREA,MATCH(A115,DIFFERENTIATION_ID_DIFF,0)))</f>
        <v/>
      </c>
      <c r="I116" s="16217"/>
      <c r="J116" s="16217"/>
      <c r="K116" s="16217"/>
      <c r="L116" s="16217"/>
      <c r="M116" s="16217"/>
      <c r="N116" s="16217"/>
      <c r="O116" s="16217"/>
      <c r="P116" s="16217"/>
      <c r="Q116" s="16217"/>
      <c r="R116" s="16217"/>
      <c r="S116" s="619"/>
      <c r="T116" s="616"/>
      <c r="U116" s="527"/>
      <c r="V116" s="527"/>
      <c r="W116" s="528"/>
      <c r="X116" s="528"/>
      <c r="Y116" s="528"/>
      <c r="Z116" s="528"/>
      <c r="AA116" s="529"/>
      <c r="AB116" s="530"/>
      <c r="AC116" s="16209"/>
      <c r="AD116" s="531"/>
      <c r="AE116" s="532"/>
      <c r="AF116" s="532"/>
      <c r="AG116" s="533"/>
      <c r="AH116" s="534"/>
      <c r="AI116" s="527"/>
      <c r="AJ116" s="527"/>
      <c r="AK116" s="527"/>
      <c r="AL116" s="527"/>
      <c r="AM116" s="527"/>
      <c r="AN116" s="527"/>
      <c r="AO116" s="527"/>
      <c r="AP116" s="527"/>
      <c r="AQ116" s="527"/>
      <c r="AR116" s="527"/>
      <c r="AS116" s="527"/>
      <c r="AT116" s="527"/>
      <c r="AU116" s="527"/>
      <c r="AV116" s="527"/>
      <c r="AW116" s="527"/>
      <c r="AX116" s="527"/>
      <c r="AY116" s="527"/>
      <c r="AZ116" s="527"/>
      <c r="BA116" s="527"/>
      <c r="BB116" s="527"/>
      <c r="BC116" s="527"/>
      <c r="BD116" s="527"/>
      <c r="BE116" s="527"/>
      <c r="BF116" s="527"/>
      <c r="BG116" s="527"/>
      <c r="BH116" s="527"/>
      <c r="BI116" s="527"/>
      <c r="BJ116" s="527"/>
      <c r="BK116" s="527"/>
      <c r="BL116" s="527"/>
      <c r="BM116" s="527"/>
      <c r="BN116" s="527"/>
      <c r="BO116" s="527"/>
      <c r="BP116" s="527"/>
      <c r="BQ116" s="527"/>
      <c r="BR116" s="527"/>
      <c r="BS116" s="527"/>
      <c r="BT116" s="527"/>
      <c r="BU116" s="527"/>
      <c r="BV116" s="528"/>
      <c r="BW116" s="528"/>
      <c r="BX116" s="528"/>
      <c r="BY116" s="528"/>
      <c r="BZ116" s="528"/>
      <c r="CA116" s="528"/>
      <c r="CB116" s="528"/>
      <c r="CC116" s="528"/>
      <c r="CD116" s="528"/>
      <c r="CE116" s="528"/>
    </row>
    <row r="117" spans="1:83" s="14359" customFormat="1" ht="15" customHeight="1">
      <c r="A117" s="525"/>
      <c r="B117" s="526"/>
      <c r="C117" s="526"/>
      <c r="D117" s="16359"/>
      <c r="E117" s="16211" t="s">
        <v>703</v>
      </c>
      <c r="F117" s="16212"/>
      <c r="G117" s="16213"/>
      <c r="H117" s="16217" t="str">
        <f>IF(A115="","",INDEX(DIFFERENTIATION_UNMERGE_SYSTEM,MATCH(A115,DIFFERENTIATION_ID_DIFF,0)))</f>
        <v/>
      </c>
      <c r="I117" s="16217"/>
      <c r="J117" s="16217"/>
      <c r="K117" s="16217"/>
      <c r="L117" s="16217"/>
      <c r="M117" s="16217"/>
      <c r="N117" s="16217"/>
      <c r="O117" s="16217"/>
      <c r="P117" s="16217"/>
      <c r="Q117" s="16217"/>
      <c r="R117" s="16217"/>
      <c r="S117" s="619"/>
      <c r="T117" s="616"/>
      <c r="U117" s="527"/>
      <c r="V117" s="527"/>
      <c r="W117" s="528"/>
      <c r="X117" s="528"/>
      <c r="Y117" s="528"/>
      <c r="Z117" s="528"/>
      <c r="AA117" s="529"/>
      <c r="AB117" s="530"/>
      <c r="AC117" s="16209"/>
      <c r="AD117" s="531"/>
      <c r="AE117" s="532"/>
      <c r="AF117" s="532"/>
      <c r="AG117" s="533"/>
      <c r="AH117" s="534"/>
      <c r="AI117" s="527"/>
      <c r="AJ117" s="527"/>
      <c r="AK117" s="527"/>
      <c r="AL117" s="527"/>
      <c r="AM117" s="527"/>
      <c r="AN117" s="527"/>
      <c r="AO117" s="527"/>
      <c r="AP117" s="527"/>
      <c r="AQ117" s="527"/>
      <c r="AR117" s="527"/>
      <c r="AS117" s="527"/>
      <c r="AT117" s="527"/>
      <c r="AU117" s="527"/>
      <c r="AV117" s="527"/>
      <c r="AW117" s="527"/>
      <c r="AX117" s="527"/>
      <c r="AY117" s="527"/>
      <c r="AZ117" s="527"/>
      <c r="BA117" s="527"/>
      <c r="BB117" s="527"/>
      <c r="BC117" s="527"/>
      <c r="BD117" s="527"/>
      <c r="BE117" s="527"/>
      <c r="BF117" s="527"/>
      <c r="BG117" s="527"/>
      <c r="BH117" s="527"/>
      <c r="BI117" s="527"/>
      <c r="BJ117" s="527"/>
      <c r="BK117" s="527"/>
      <c r="BL117" s="527"/>
      <c r="BM117" s="527"/>
      <c r="BN117" s="527"/>
      <c r="BO117" s="527"/>
      <c r="BP117" s="527"/>
      <c r="BQ117" s="527"/>
      <c r="BR117" s="527"/>
      <c r="BS117" s="527"/>
      <c r="BT117" s="527"/>
      <c r="BU117" s="527"/>
      <c r="BV117" s="528"/>
      <c r="BW117" s="528"/>
      <c r="BX117" s="528"/>
      <c r="BY117" s="528"/>
      <c r="BZ117" s="528"/>
      <c r="CA117" s="528"/>
      <c r="CB117" s="528"/>
      <c r="CC117" s="528"/>
      <c r="CD117" s="528"/>
      <c r="CE117" s="528"/>
    </row>
    <row r="118" spans="1:83" s="14359" customFormat="1" ht="24.75" customHeight="1">
      <c r="A118" s="1668"/>
      <c r="B118" s="1041"/>
      <c r="C118" s="327"/>
      <c r="D118" s="16359"/>
      <c r="E118" s="16210" t="s">
        <v>748</v>
      </c>
      <c r="F118" s="16210"/>
      <c r="G118" s="16210"/>
      <c r="H118" s="16210"/>
      <c r="I118" s="16210"/>
      <c r="J118" s="16210"/>
      <c r="K118" s="16210"/>
      <c r="L118" s="16210"/>
      <c r="M118" s="16210"/>
      <c r="N118" s="16210"/>
      <c r="O118" s="16210"/>
      <c r="P118" s="16210"/>
      <c r="Q118" s="464">
        <f>SUMIF(T119:T120,"i",Q119:Q120)</f>
        <v>0</v>
      </c>
      <c r="R118" s="905"/>
      <c r="S118" s="1660" t="s">
        <v>749</v>
      </c>
      <c r="T118" s="617" t="s">
        <v>750</v>
      </c>
      <c r="U118" s="16123">
        <v>1</v>
      </c>
      <c r="V118" s="16123" t="s">
        <v>713</v>
      </c>
      <c r="W118" s="1041"/>
      <c r="X118" s="1041"/>
      <c r="Y118" s="1041"/>
      <c r="Z118" s="1041"/>
      <c r="AA118" s="1499"/>
      <c r="AB118" s="1041"/>
      <c r="AC118" s="16209"/>
      <c r="AD118" s="531"/>
      <c r="AE118" s="1041"/>
      <c r="AF118" s="1041"/>
      <c r="AG118" s="1499"/>
      <c r="AH118" s="1499"/>
      <c r="AI118" s="1499"/>
      <c r="AJ118" s="1499"/>
      <c r="AK118" s="1499"/>
      <c r="AL118" s="1499"/>
      <c r="AM118" s="1499"/>
      <c r="AN118" s="1499"/>
      <c r="AO118" s="1499"/>
      <c r="AP118" s="1499"/>
      <c r="AQ118" s="1499"/>
      <c r="AR118" s="1499"/>
      <c r="AS118" s="1499"/>
      <c r="AT118" s="1499"/>
      <c r="AU118" s="1499"/>
      <c r="AV118" s="1499"/>
      <c r="AW118" s="1499"/>
      <c r="AX118" s="1499"/>
      <c r="AY118" s="1499"/>
      <c r="AZ118" s="1499"/>
      <c r="BA118" s="1499"/>
      <c r="BB118" s="1499"/>
      <c r="BC118" s="1499"/>
      <c r="BD118" s="1499"/>
      <c r="BE118" s="1499"/>
      <c r="BF118" s="1499"/>
      <c r="BG118" s="1499"/>
      <c r="BH118" s="1499"/>
      <c r="BI118" s="1499"/>
      <c r="BJ118" s="1499"/>
      <c r="BK118" s="1499"/>
      <c r="BL118" s="1499"/>
      <c r="BM118" s="1499"/>
      <c r="BN118" s="1499"/>
      <c r="BO118" s="1499"/>
      <c r="BP118" s="1499"/>
      <c r="BQ118" s="1499"/>
      <c r="BR118" s="1499"/>
      <c r="BS118" s="1499"/>
      <c r="BT118" s="1499"/>
      <c r="BU118" s="1499"/>
      <c r="BV118" s="1041"/>
      <c r="BW118" s="1041"/>
      <c r="BX118" s="1041"/>
      <c r="BY118" s="1041"/>
      <c r="BZ118" s="1041"/>
      <c r="CA118" s="1041"/>
      <c r="CB118" s="1041"/>
      <c r="CC118" s="1041"/>
      <c r="CD118" s="1041"/>
      <c r="CE118" s="1041"/>
    </row>
    <row r="119" spans="1:83" s="14359" customFormat="1" ht="11.25" hidden="1" customHeight="1">
      <c r="A119" s="1655"/>
      <c r="B119" s="1499"/>
      <c r="C119" s="1499"/>
      <c r="D119" s="16359"/>
      <c r="E119" s="537"/>
      <c r="F119" s="537">
        <v>0</v>
      </c>
      <c r="G119" s="537"/>
      <c r="H119" s="537"/>
      <c r="I119" s="537"/>
      <c r="J119" s="537"/>
      <c r="K119" s="537"/>
      <c r="L119" s="537"/>
      <c r="M119" s="537"/>
      <c r="N119" s="537"/>
      <c r="O119" s="537"/>
      <c r="P119" s="537"/>
      <c r="Q119" s="537"/>
      <c r="R119" s="537"/>
      <c r="S119" s="538"/>
      <c r="T119" s="618"/>
      <c r="U119" s="16123"/>
      <c r="V119" s="16123"/>
      <c r="W119" s="1499"/>
      <c r="X119" s="1499"/>
      <c r="Y119" s="1499"/>
      <c r="Z119" s="1499"/>
      <c r="AA119" s="1499"/>
      <c r="AB119" s="1041"/>
      <c r="AC119" s="16209"/>
      <c r="AD119" s="531"/>
      <c r="AE119" s="1041"/>
      <c r="AF119" s="1041"/>
      <c r="AG119" s="1499"/>
      <c r="AH119" s="1499"/>
      <c r="AI119" s="1499"/>
      <c r="AJ119" s="1499"/>
      <c r="AK119" s="1499"/>
      <c r="AL119" s="1499"/>
      <c r="AM119" s="1499"/>
      <c r="AN119" s="1499"/>
      <c r="AO119" s="1499"/>
      <c r="AP119" s="1499"/>
      <c r="AQ119" s="1499"/>
      <c r="AR119" s="1499"/>
      <c r="AS119" s="1499"/>
      <c r="AT119" s="1499"/>
      <c r="AU119" s="1499"/>
      <c r="AV119" s="1499"/>
      <c r="AW119" s="1499"/>
      <c r="AX119" s="1499"/>
      <c r="AY119" s="1499"/>
      <c r="AZ119" s="1499"/>
      <c r="BA119" s="1499"/>
      <c r="BB119" s="1499"/>
      <c r="BC119" s="1499"/>
      <c r="BD119" s="1499"/>
      <c r="BE119" s="1499"/>
      <c r="BF119" s="1499"/>
      <c r="BG119" s="1499"/>
      <c r="BH119" s="1499"/>
      <c r="BI119" s="1499"/>
      <c r="BJ119" s="1499"/>
      <c r="BK119" s="1499"/>
      <c r="BL119" s="1499"/>
      <c r="BM119" s="1499"/>
      <c r="BN119" s="1499"/>
      <c r="BO119" s="1499"/>
      <c r="BP119" s="1499"/>
      <c r="BQ119" s="1499"/>
      <c r="BR119" s="1499"/>
      <c r="BS119" s="1499"/>
      <c r="BT119" s="1499"/>
      <c r="BU119" s="1499"/>
      <c r="BV119" s="1499"/>
      <c r="BW119" s="1499"/>
      <c r="BX119" s="1499"/>
      <c r="BY119" s="1499"/>
      <c r="BZ119" s="1499"/>
      <c r="CA119" s="1499"/>
      <c r="CB119" s="1499"/>
      <c r="CC119" s="1499"/>
      <c r="CD119" s="1499"/>
      <c r="CE119" s="1499"/>
    </row>
    <row r="120" spans="1:83" s="14359" customFormat="1" ht="11.25" customHeight="1">
      <c r="A120" s="1668"/>
      <c r="B120" s="1041"/>
      <c r="C120" s="327"/>
      <c r="D120" s="16359"/>
      <c r="E120" s="551" t="s">
        <v>24</v>
      </c>
      <c r="F120" s="1049" t="s">
        <v>24</v>
      </c>
      <c r="G120" s="1049" t="s">
        <v>1982</v>
      </c>
      <c r="H120" s="553" t="s">
        <v>24</v>
      </c>
      <c r="I120" s="553"/>
      <c r="J120" s="553"/>
      <c r="K120" s="553"/>
      <c r="L120" s="553"/>
      <c r="M120" s="553"/>
      <c r="N120" s="553"/>
      <c r="O120" s="553"/>
      <c r="P120" s="553"/>
      <c r="Q120" s="553"/>
      <c r="R120" s="554"/>
      <c r="S120" s="555"/>
      <c r="T120" s="618"/>
      <c r="U120" s="16123"/>
      <c r="V120" s="16123"/>
      <c r="W120" s="1041"/>
      <c r="X120" s="1041"/>
      <c r="Y120" s="1041"/>
      <c r="Z120" s="1041"/>
      <c r="AA120" s="1499"/>
      <c r="AB120" s="1041"/>
      <c r="AC120" s="16209"/>
      <c r="AD120" s="531"/>
      <c r="AE120" s="1041"/>
      <c r="AF120" s="1041"/>
      <c r="AG120" s="1499"/>
      <c r="AH120" s="1499"/>
      <c r="AI120" s="1499"/>
      <c r="AJ120" s="1499"/>
      <c r="AK120" s="1499"/>
      <c r="AL120" s="1499"/>
      <c r="AM120" s="1499"/>
      <c r="AN120" s="1499"/>
      <c r="AO120" s="1499"/>
      <c r="AP120" s="1499"/>
      <c r="AQ120" s="1499"/>
      <c r="AR120" s="1499"/>
      <c r="AS120" s="1499"/>
      <c r="AT120" s="1499"/>
      <c r="AU120" s="1499"/>
      <c r="AV120" s="1499"/>
      <c r="AW120" s="1499"/>
      <c r="AX120" s="1499"/>
      <c r="AY120" s="1499"/>
      <c r="AZ120" s="1499"/>
      <c r="BA120" s="1499"/>
      <c r="BB120" s="1499"/>
      <c r="BC120" s="1499"/>
      <c r="BD120" s="1499"/>
      <c r="BE120" s="1499"/>
      <c r="BF120" s="1499"/>
      <c r="BG120" s="1499"/>
      <c r="BH120" s="1499"/>
      <c r="BI120" s="1499"/>
      <c r="BJ120" s="1499"/>
      <c r="BK120" s="1499"/>
      <c r="BL120" s="1499"/>
      <c r="BM120" s="1499"/>
      <c r="BN120" s="1499"/>
      <c r="BO120" s="1499"/>
      <c r="BP120" s="1499"/>
      <c r="BQ120" s="1499"/>
      <c r="BR120" s="1499"/>
      <c r="BS120" s="1499"/>
      <c r="BT120" s="1499"/>
      <c r="BU120" s="1499"/>
      <c r="BV120" s="1041"/>
      <c r="BW120" s="1041"/>
      <c r="BX120" s="1041"/>
      <c r="BY120" s="1041"/>
      <c r="BZ120" s="1041"/>
      <c r="CA120" s="1041"/>
      <c r="CB120" s="1041"/>
      <c r="CC120" s="1041"/>
      <c r="CD120" s="1041"/>
      <c r="CE120" s="1041"/>
    </row>
    <row r="121" spans="1:83" s="14359" customFormat="1" ht="24.75" customHeight="1">
      <c r="A121" s="1668"/>
      <c r="B121" s="1041"/>
      <c r="C121" s="327"/>
      <c r="D121" s="16359"/>
      <c r="E121" s="16210" t="s">
        <v>751</v>
      </c>
      <c r="F121" s="16210"/>
      <c r="G121" s="16210"/>
      <c r="H121" s="16210"/>
      <c r="I121" s="16210"/>
      <c r="J121" s="16210"/>
      <c r="K121" s="16210"/>
      <c r="L121" s="16210"/>
      <c r="M121" s="16210"/>
      <c r="N121" s="16210"/>
      <c r="O121" s="16210"/>
      <c r="P121" s="16210"/>
      <c r="Q121" s="464">
        <f>SUMIF(T122:T123,"i",Q122:Q123)</f>
        <v>0</v>
      </c>
      <c r="R121" s="905"/>
      <c r="S121" s="1660" t="s">
        <v>752</v>
      </c>
      <c r="T121" s="617" t="s">
        <v>750</v>
      </c>
      <c r="U121" s="16123">
        <v>1</v>
      </c>
      <c r="V121" s="16123" t="s">
        <v>713</v>
      </c>
      <c r="W121" s="1041"/>
      <c r="X121" s="1041"/>
      <c r="Y121" s="1041"/>
      <c r="Z121" s="1041"/>
      <c r="AA121" s="1499"/>
      <c r="AB121" s="1041"/>
      <c r="AC121" s="1658"/>
      <c r="AD121" s="531"/>
      <c r="AE121" s="1041"/>
      <c r="AF121" s="1041"/>
      <c r="AG121" s="1499"/>
      <c r="AH121" s="1499"/>
      <c r="AI121" s="1499"/>
      <c r="AJ121" s="1499"/>
      <c r="AK121" s="1499"/>
      <c r="AL121" s="1499"/>
      <c r="AM121" s="1499"/>
      <c r="AN121" s="1499"/>
      <c r="AO121" s="1499"/>
      <c r="AP121" s="1499"/>
      <c r="AQ121" s="1499"/>
      <c r="AR121" s="1499"/>
      <c r="AS121" s="1499"/>
      <c r="AT121" s="1499"/>
      <c r="AU121" s="1499"/>
      <c r="AV121" s="1499"/>
      <c r="AW121" s="1499"/>
      <c r="AX121" s="1499"/>
      <c r="AY121" s="1499"/>
      <c r="AZ121" s="1499"/>
      <c r="BA121" s="1499"/>
      <c r="BB121" s="1499"/>
      <c r="BC121" s="1499"/>
      <c r="BD121" s="1499"/>
      <c r="BE121" s="1499"/>
      <c r="BF121" s="1499"/>
      <c r="BG121" s="1499"/>
      <c r="BH121" s="1499"/>
      <c r="BI121" s="1499"/>
      <c r="BJ121" s="1499"/>
      <c r="BK121" s="1499"/>
      <c r="BL121" s="1499"/>
      <c r="BM121" s="1499"/>
      <c r="BN121" s="1499"/>
      <c r="BO121" s="1499"/>
      <c r="BP121" s="1499"/>
      <c r="BQ121" s="1499"/>
      <c r="BR121" s="1499"/>
      <c r="BS121" s="1499"/>
      <c r="BT121" s="1499"/>
      <c r="BU121" s="1499"/>
      <c r="BV121" s="1041"/>
      <c r="BW121" s="1041"/>
      <c r="BX121" s="1041"/>
      <c r="BY121" s="1041"/>
      <c r="BZ121" s="1041"/>
      <c r="CA121" s="1041"/>
      <c r="CB121" s="1041"/>
      <c r="CC121" s="1041"/>
      <c r="CD121" s="1041"/>
      <c r="CE121" s="1041"/>
    </row>
    <row r="122" spans="1:83" s="14359" customFormat="1" ht="11.25" hidden="1" customHeight="1">
      <c r="A122" s="1655"/>
      <c r="B122" s="1499"/>
      <c r="C122" s="1499"/>
      <c r="D122" s="16359"/>
      <c r="E122" s="537"/>
      <c r="F122" s="537">
        <v>0</v>
      </c>
      <c r="G122" s="537"/>
      <c r="H122" s="537"/>
      <c r="I122" s="537"/>
      <c r="J122" s="537"/>
      <c r="K122" s="537"/>
      <c r="L122" s="537"/>
      <c r="M122" s="537"/>
      <c r="N122" s="537"/>
      <c r="O122" s="537"/>
      <c r="P122" s="537"/>
      <c r="Q122" s="537"/>
      <c r="R122" s="537"/>
      <c r="S122" s="538"/>
      <c r="T122" s="618"/>
      <c r="U122" s="16123"/>
      <c r="V122" s="16123"/>
      <c r="W122" s="1499"/>
      <c r="X122" s="1499"/>
      <c r="Y122" s="1499"/>
      <c r="Z122" s="1499"/>
      <c r="AA122" s="1499"/>
      <c r="AB122" s="1041"/>
      <c r="AC122" s="1658"/>
      <c r="AD122" s="531"/>
      <c r="AE122" s="1041"/>
      <c r="AF122" s="1041"/>
      <c r="AG122" s="1499"/>
      <c r="AH122" s="1499"/>
      <c r="AI122" s="1499"/>
      <c r="AJ122" s="1499"/>
      <c r="AK122" s="1499"/>
      <c r="AL122" s="1499"/>
      <c r="AM122" s="1499"/>
      <c r="AN122" s="1499"/>
      <c r="AO122" s="1499"/>
      <c r="AP122" s="1499"/>
      <c r="AQ122" s="1499"/>
      <c r="AR122" s="1499"/>
      <c r="AS122" s="1499"/>
      <c r="AT122" s="1499"/>
      <c r="AU122" s="1499"/>
      <c r="AV122" s="1499"/>
      <c r="AW122" s="1499"/>
      <c r="AX122" s="1499"/>
      <c r="AY122" s="1499"/>
      <c r="AZ122" s="1499"/>
      <c r="BA122" s="1499"/>
      <c r="BB122" s="1499"/>
      <c r="BC122" s="1499"/>
      <c r="BD122" s="1499"/>
      <c r="BE122" s="1499"/>
      <c r="BF122" s="1499"/>
      <c r="BG122" s="1499"/>
      <c r="BH122" s="1499"/>
      <c r="BI122" s="1499"/>
      <c r="BJ122" s="1499"/>
      <c r="BK122" s="1499"/>
      <c r="BL122" s="1499"/>
      <c r="BM122" s="1499"/>
      <c r="BN122" s="1499"/>
      <c r="BO122" s="1499"/>
      <c r="BP122" s="1499"/>
      <c r="BQ122" s="1499"/>
      <c r="BR122" s="1499"/>
      <c r="BS122" s="1499"/>
      <c r="BT122" s="1499"/>
      <c r="BU122" s="1499"/>
      <c r="BV122" s="1499"/>
      <c r="BW122" s="1499"/>
      <c r="BX122" s="1499"/>
      <c r="BY122" s="1499"/>
      <c r="BZ122" s="1499"/>
      <c r="CA122" s="1499"/>
      <c r="CB122" s="1499"/>
      <c r="CC122" s="1499"/>
      <c r="CD122" s="1499"/>
      <c r="CE122" s="1499"/>
    </row>
    <row r="123" spans="1:83" s="14359" customFormat="1" ht="11.25" customHeight="1">
      <c r="A123" s="1668"/>
      <c r="B123" s="1041"/>
      <c r="C123" s="327"/>
      <c r="D123" s="16360"/>
      <c r="E123" s="551" t="s">
        <v>24</v>
      </c>
      <c r="F123" s="1049" t="s">
        <v>24</v>
      </c>
      <c r="G123" s="1049" t="s">
        <v>1982</v>
      </c>
      <c r="H123" s="553" t="s">
        <v>24</v>
      </c>
      <c r="I123" s="553"/>
      <c r="J123" s="553"/>
      <c r="K123" s="553"/>
      <c r="L123" s="553"/>
      <c r="M123" s="553"/>
      <c r="N123" s="553"/>
      <c r="O123" s="553"/>
      <c r="P123" s="553"/>
      <c r="Q123" s="553"/>
      <c r="R123" s="554"/>
      <c r="S123" s="555"/>
      <c r="T123" s="618"/>
      <c r="U123" s="16123"/>
      <c r="V123" s="16123"/>
      <c r="W123" s="1041"/>
      <c r="X123" s="1041"/>
      <c r="Y123" s="1041"/>
      <c r="Z123" s="1041"/>
      <c r="AA123" s="1499"/>
      <c r="AB123" s="1041"/>
      <c r="AC123" s="1658"/>
      <c r="AD123" s="531"/>
      <c r="AE123" s="1041"/>
      <c r="AF123" s="1041"/>
      <c r="AG123" s="1499"/>
      <c r="AH123" s="1499"/>
      <c r="AI123" s="1499"/>
      <c r="AJ123" s="1499"/>
      <c r="AK123" s="1499"/>
      <c r="AL123" s="1499"/>
      <c r="AM123" s="1499"/>
      <c r="AN123" s="1499"/>
      <c r="AO123" s="1499"/>
      <c r="AP123" s="1499"/>
      <c r="AQ123" s="1499"/>
      <c r="AR123" s="1499"/>
      <c r="AS123" s="1499"/>
      <c r="AT123" s="1499"/>
      <c r="AU123" s="1499"/>
      <c r="AV123" s="1499"/>
      <c r="AW123" s="1499"/>
      <c r="AX123" s="1499"/>
      <c r="AY123" s="1499"/>
      <c r="AZ123" s="1499"/>
      <c r="BA123" s="1499"/>
      <c r="BB123" s="1499"/>
      <c r="BC123" s="1499"/>
      <c r="BD123" s="1499"/>
      <c r="BE123" s="1499"/>
      <c r="BF123" s="1499"/>
      <c r="BG123" s="1499"/>
      <c r="BH123" s="1499"/>
      <c r="BI123" s="1499"/>
      <c r="BJ123" s="1499"/>
      <c r="BK123" s="1499"/>
      <c r="BL123" s="1499"/>
      <c r="BM123" s="1499"/>
      <c r="BN123" s="1499"/>
      <c r="BO123" s="1499"/>
      <c r="BP123" s="1499"/>
      <c r="BQ123" s="1499"/>
      <c r="BR123" s="1499"/>
      <c r="BS123" s="1499"/>
      <c r="BT123" s="1499"/>
      <c r="BU123" s="1499"/>
      <c r="BV123" s="1041"/>
      <c r="BW123" s="1041"/>
      <c r="BX123" s="1041"/>
      <c r="BY123" s="1041"/>
      <c r="BZ123" s="1041"/>
      <c r="CA123" s="1041"/>
      <c r="CB123" s="1041"/>
      <c r="CC123" s="1041"/>
      <c r="CD123" s="1041"/>
      <c r="CE123" s="1041"/>
    </row>
    <row r="125" spans="1:83" s="15923" customFormat="1" ht="11.25" customHeight="1">
      <c r="A125" s="1677" t="s">
        <v>1983</v>
      </c>
    </row>
    <row r="127" spans="1:83" s="14359" customFormat="1" ht="15" customHeight="1">
      <c r="A127" s="525"/>
      <c r="B127" s="526"/>
      <c r="C127" s="526"/>
      <c r="D127" s="16358" t="s">
        <v>147</v>
      </c>
      <c r="E127" s="16211" t="s">
        <v>143</v>
      </c>
      <c r="F127" s="16212"/>
      <c r="G127" s="16213"/>
      <c r="H127" s="16217" t="str">
        <f>IF(A127="","",INDEX(DIFFERENTIATION_UNMERGE_VD,MATCH(A127,DIFFERENTIATION_ID_DIFF,0)))</f>
        <v/>
      </c>
      <c r="I127" s="16217"/>
      <c r="J127" s="16217"/>
      <c r="K127" s="16217"/>
      <c r="L127" s="16217"/>
      <c r="M127" s="16217"/>
      <c r="N127" s="16217"/>
      <c r="O127" s="16217"/>
      <c r="P127" s="16217"/>
      <c r="Q127" s="16217"/>
      <c r="R127" s="16217"/>
      <c r="S127" s="619"/>
      <c r="T127" s="616"/>
      <c r="U127" s="527"/>
      <c r="V127" s="527"/>
      <c r="W127" s="528"/>
      <c r="X127" s="528"/>
      <c r="Y127" s="528"/>
      <c r="Z127" s="528"/>
      <c r="AA127" s="529"/>
      <c r="AB127" s="530"/>
      <c r="AC127" s="16209"/>
      <c r="AD127" s="531"/>
      <c r="AE127" s="532" t="s">
        <v>24</v>
      </c>
      <c r="AF127" s="532"/>
      <c r="AG127" s="533" t="s">
        <v>747</v>
      </c>
      <c r="AH127" s="534">
        <v>3</v>
      </c>
      <c r="AI127" s="527"/>
      <c r="AJ127" s="527"/>
      <c r="AK127" s="527"/>
      <c r="AL127" s="527"/>
      <c r="AM127" s="527"/>
      <c r="AN127" s="527"/>
      <c r="AO127" s="527"/>
      <c r="AP127" s="527"/>
      <c r="AQ127" s="527"/>
      <c r="AR127" s="527"/>
      <c r="AS127" s="527"/>
      <c r="AT127" s="527"/>
      <c r="AU127" s="527"/>
      <c r="AV127" s="527"/>
      <c r="AW127" s="527"/>
      <c r="AX127" s="527"/>
      <c r="AY127" s="527"/>
      <c r="AZ127" s="527"/>
      <c r="BA127" s="527"/>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8"/>
      <c r="BW127" s="528"/>
      <c r="BX127" s="528"/>
      <c r="BY127" s="528"/>
      <c r="BZ127" s="528"/>
      <c r="CA127" s="528"/>
      <c r="CB127" s="528"/>
      <c r="CC127" s="528"/>
      <c r="CD127" s="528"/>
      <c r="CE127" s="528"/>
    </row>
    <row r="128" spans="1:83" s="14359" customFormat="1" ht="15" customHeight="1">
      <c r="A128" s="525"/>
      <c r="B128" s="526"/>
      <c r="C128" s="526"/>
      <c r="D128" s="16359"/>
      <c r="E128" s="16211" t="s">
        <v>702</v>
      </c>
      <c r="F128" s="16212"/>
      <c r="G128" s="16213"/>
      <c r="H128" s="16217" t="str">
        <f>IF(A127="","",INDEX(DIFFERENTIATION_UNMERGE_AREA,MATCH(A127,DIFFERENTIATION_ID_DIFF,0)))</f>
        <v/>
      </c>
      <c r="I128" s="16217"/>
      <c r="J128" s="16217"/>
      <c r="K128" s="16217"/>
      <c r="L128" s="16217"/>
      <c r="M128" s="16217"/>
      <c r="N128" s="16217"/>
      <c r="O128" s="16217"/>
      <c r="P128" s="16217"/>
      <c r="Q128" s="16217"/>
      <c r="R128" s="16217"/>
      <c r="S128" s="619"/>
      <c r="T128" s="616"/>
      <c r="U128" s="527"/>
      <c r="V128" s="527"/>
      <c r="W128" s="528"/>
      <c r="X128" s="528"/>
      <c r="Y128" s="528"/>
      <c r="Z128" s="528"/>
      <c r="AA128" s="529"/>
      <c r="AB128" s="530"/>
      <c r="AC128" s="16209"/>
      <c r="AD128" s="531"/>
      <c r="AE128" s="532"/>
      <c r="AF128" s="532"/>
      <c r="AG128" s="533"/>
      <c r="AH128" s="534"/>
      <c r="AI128" s="527"/>
      <c r="AJ128" s="527"/>
      <c r="AK128" s="527"/>
      <c r="AL128" s="527"/>
      <c r="AM128" s="527"/>
      <c r="AN128" s="527"/>
      <c r="AO128" s="527"/>
      <c r="AP128" s="527"/>
      <c r="AQ128" s="527"/>
      <c r="AR128" s="527"/>
      <c r="AS128" s="527"/>
      <c r="AT128" s="527"/>
      <c r="AU128" s="527"/>
      <c r="AV128" s="527"/>
      <c r="AW128" s="527"/>
      <c r="AX128" s="527"/>
      <c r="AY128" s="527"/>
      <c r="AZ128" s="527"/>
      <c r="BA128" s="527"/>
      <c r="BB128" s="527"/>
      <c r="BC128" s="527"/>
      <c r="BD128" s="527"/>
      <c r="BE128" s="527"/>
      <c r="BF128" s="527"/>
      <c r="BG128" s="527"/>
      <c r="BH128" s="527"/>
      <c r="BI128" s="527"/>
      <c r="BJ128" s="527"/>
      <c r="BK128" s="527"/>
      <c r="BL128" s="527"/>
      <c r="BM128" s="527"/>
      <c r="BN128" s="527"/>
      <c r="BO128" s="527"/>
      <c r="BP128" s="527"/>
      <c r="BQ128" s="527"/>
      <c r="BR128" s="527"/>
      <c r="BS128" s="527"/>
      <c r="BT128" s="527"/>
      <c r="BU128" s="527"/>
      <c r="BV128" s="528"/>
      <c r="BW128" s="528"/>
      <c r="BX128" s="528"/>
      <c r="BY128" s="528"/>
      <c r="BZ128" s="528"/>
      <c r="CA128" s="528"/>
      <c r="CB128" s="528"/>
      <c r="CC128" s="528"/>
      <c r="CD128" s="528"/>
      <c r="CE128" s="528"/>
    </row>
    <row r="129" spans="1:83" s="14359" customFormat="1" ht="15" customHeight="1">
      <c r="A129" s="525"/>
      <c r="B129" s="526"/>
      <c r="C129" s="526"/>
      <c r="D129" s="16359"/>
      <c r="E129" s="16211" t="s">
        <v>703</v>
      </c>
      <c r="F129" s="16212"/>
      <c r="G129" s="16213"/>
      <c r="H129" s="16217" t="str">
        <f>IF(A127="","",INDEX(DIFFERENTIATION_UNMERGE_SYSTEM,MATCH(A127,DIFFERENTIATION_ID_DIFF,0)))</f>
        <v/>
      </c>
      <c r="I129" s="16217"/>
      <c r="J129" s="16217"/>
      <c r="K129" s="16217"/>
      <c r="L129" s="16217"/>
      <c r="M129" s="16217"/>
      <c r="N129" s="16217"/>
      <c r="O129" s="16217"/>
      <c r="P129" s="16217"/>
      <c r="Q129" s="16217"/>
      <c r="R129" s="16217"/>
      <c r="S129" s="619"/>
      <c r="T129" s="616"/>
      <c r="U129" s="527"/>
      <c r="V129" s="527"/>
      <c r="W129" s="528"/>
      <c r="X129" s="528"/>
      <c r="Y129" s="528"/>
      <c r="Z129" s="528"/>
      <c r="AA129" s="529"/>
      <c r="AB129" s="530"/>
      <c r="AC129" s="16209"/>
      <c r="AD129" s="531"/>
      <c r="AE129" s="532"/>
      <c r="AF129" s="532"/>
      <c r="AG129" s="533"/>
      <c r="AH129" s="534"/>
      <c r="AI129" s="527"/>
      <c r="AJ129" s="527"/>
      <c r="AK129" s="527"/>
      <c r="AL129" s="527"/>
      <c r="AM129" s="527"/>
      <c r="AN129" s="527"/>
      <c r="AO129" s="527"/>
      <c r="AP129" s="527"/>
      <c r="AQ129" s="527"/>
      <c r="AR129" s="527"/>
      <c r="AS129" s="527"/>
      <c r="AT129" s="527"/>
      <c r="AU129" s="527"/>
      <c r="AV129" s="527"/>
      <c r="AW129" s="527"/>
      <c r="AX129" s="527"/>
      <c r="AY129" s="527"/>
      <c r="AZ129" s="527"/>
      <c r="BA129" s="527"/>
      <c r="BB129" s="527"/>
      <c r="BC129" s="527"/>
      <c r="BD129" s="527"/>
      <c r="BE129" s="527"/>
      <c r="BF129" s="527"/>
      <c r="BG129" s="527"/>
      <c r="BH129" s="527"/>
      <c r="BI129" s="527"/>
      <c r="BJ129" s="527"/>
      <c r="BK129" s="527"/>
      <c r="BL129" s="527"/>
      <c r="BM129" s="527"/>
      <c r="BN129" s="527"/>
      <c r="BO129" s="527"/>
      <c r="BP129" s="527"/>
      <c r="BQ129" s="527"/>
      <c r="BR129" s="527"/>
      <c r="BS129" s="527"/>
      <c r="BT129" s="527"/>
      <c r="BU129" s="527"/>
      <c r="BV129" s="528"/>
      <c r="BW129" s="528"/>
      <c r="BX129" s="528"/>
      <c r="BY129" s="528"/>
      <c r="BZ129" s="528"/>
      <c r="CA129" s="528"/>
      <c r="CB129" s="528"/>
      <c r="CC129" s="528"/>
      <c r="CD129" s="528"/>
      <c r="CE129" s="528"/>
    </row>
    <row r="130" spans="1:83" s="14359" customFormat="1" ht="24.75" customHeight="1">
      <c r="A130" s="1668"/>
      <c r="B130" s="1041"/>
      <c r="C130" s="327"/>
      <c r="D130" s="16359"/>
      <c r="E130" s="16210" t="s">
        <v>748</v>
      </c>
      <c r="F130" s="16210"/>
      <c r="G130" s="16210"/>
      <c r="H130" s="16210"/>
      <c r="I130" s="16210"/>
      <c r="J130" s="16210"/>
      <c r="K130" s="16210"/>
      <c r="L130" s="16210"/>
      <c r="M130" s="16210"/>
      <c r="N130" s="16210"/>
      <c r="O130" s="16210"/>
      <c r="P130" s="16210"/>
      <c r="Q130" s="464">
        <f>SUMIF(T131:T132,"i",Q131:Q132)</f>
        <v>0</v>
      </c>
      <c r="R130" s="905"/>
      <c r="S130" s="1660" t="s">
        <v>749</v>
      </c>
      <c r="T130" s="617" t="s">
        <v>750</v>
      </c>
      <c r="U130" s="16123">
        <v>1</v>
      </c>
      <c r="V130" s="16123" t="s">
        <v>713</v>
      </c>
      <c r="W130" s="1041"/>
      <c r="X130" s="1041"/>
      <c r="Y130" s="1041"/>
      <c r="Z130" s="1041"/>
      <c r="AA130" s="1499"/>
      <c r="AB130" s="1041"/>
      <c r="AC130" s="16209"/>
      <c r="AD130" s="531"/>
      <c r="AE130" s="1041"/>
      <c r="AF130" s="1041"/>
      <c r="AG130" s="1499"/>
      <c r="AH130" s="1499"/>
      <c r="AI130" s="1499"/>
      <c r="AJ130" s="1499"/>
      <c r="AK130" s="1499"/>
      <c r="AL130" s="1499"/>
      <c r="AM130" s="1499"/>
      <c r="AN130" s="1499"/>
      <c r="AO130" s="1499"/>
      <c r="AP130" s="1499"/>
      <c r="AQ130" s="1499"/>
      <c r="AR130" s="1499"/>
      <c r="AS130" s="1499"/>
      <c r="AT130" s="1499"/>
      <c r="AU130" s="1499"/>
      <c r="AV130" s="1499"/>
      <c r="AW130" s="1499"/>
      <c r="AX130" s="1499"/>
      <c r="AY130" s="1499"/>
      <c r="AZ130" s="1499"/>
      <c r="BA130" s="1499"/>
      <c r="BB130" s="1499"/>
      <c r="BC130" s="1499"/>
      <c r="BD130" s="1499"/>
      <c r="BE130" s="1499"/>
      <c r="BF130" s="1499"/>
      <c r="BG130" s="1499"/>
      <c r="BH130" s="1499"/>
      <c r="BI130" s="1499"/>
      <c r="BJ130" s="1499"/>
      <c r="BK130" s="1499"/>
      <c r="BL130" s="1499"/>
      <c r="BM130" s="1499"/>
      <c r="BN130" s="1499"/>
      <c r="BO130" s="1499"/>
      <c r="BP130" s="1499"/>
      <c r="BQ130" s="1499"/>
      <c r="BR130" s="1499"/>
      <c r="BS130" s="1499"/>
      <c r="BT130" s="1499"/>
      <c r="BU130" s="1499"/>
      <c r="BV130" s="1041"/>
      <c r="BW130" s="1041"/>
      <c r="BX130" s="1041"/>
      <c r="BY130" s="1041"/>
      <c r="BZ130" s="1041"/>
      <c r="CA130" s="1041"/>
      <c r="CB130" s="1041"/>
      <c r="CC130" s="1041"/>
      <c r="CD130" s="1041"/>
      <c r="CE130" s="1041"/>
    </row>
    <row r="131" spans="1:83" s="14359" customFormat="1" ht="11.25" hidden="1" customHeight="1">
      <c r="A131" s="1655"/>
      <c r="B131" s="1499"/>
      <c r="C131" s="1499"/>
      <c r="D131" s="16359"/>
      <c r="E131" s="537"/>
      <c r="F131" s="537">
        <v>0</v>
      </c>
      <c r="G131" s="537"/>
      <c r="H131" s="537"/>
      <c r="I131" s="537"/>
      <c r="J131" s="537"/>
      <c r="K131" s="537"/>
      <c r="L131" s="537"/>
      <c r="M131" s="537"/>
      <c r="N131" s="537"/>
      <c r="O131" s="537"/>
      <c r="P131" s="537"/>
      <c r="Q131" s="537"/>
      <c r="R131" s="537"/>
      <c r="S131" s="538"/>
      <c r="T131" s="618"/>
      <c r="U131" s="16123"/>
      <c r="V131" s="16123"/>
      <c r="W131" s="1499"/>
      <c r="X131" s="1499"/>
      <c r="Y131" s="1499"/>
      <c r="Z131" s="1499"/>
      <c r="AA131" s="1499"/>
      <c r="AB131" s="1041"/>
      <c r="AC131" s="16209"/>
      <c r="AD131" s="531"/>
      <c r="AE131" s="1041"/>
      <c r="AF131" s="1041"/>
      <c r="AG131" s="1499"/>
      <c r="AH131" s="1499"/>
      <c r="AI131" s="1499"/>
      <c r="AJ131" s="1499"/>
      <c r="AK131" s="1499"/>
      <c r="AL131" s="1499"/>
      <c r="AM131" s="1499"/>
      <c r="AN131" s="1499"/>
      <c r="AO131" s="1499"/>
      <c r="AP131" s="1499"/>
      <c r="AQ131" s="1499"/>
      <c r="AR131" s="1499"/>
      <c r="AS131" s="1499"/>
      <c r="AT131" s="1499"/>
      <c r="AU131" s="1499"/>
      <c r="AV131" s="1499"/>
      <c r="AW131" s="1499"/>
      <c r="AX131" s="1499"/>
      <c r="AY131" s="1499"/>
      <c r="AZ131" s="1499"/>
      <c r="BA131" s="1499"/>
      <c r="BB131" s="1499"/>
      <c r="BC131" s="1499"/>
      <c r="BD131" s="1499"/>
      <c r="BE131" s="1499"/>
      <c r="BF131" s="1499"/>
      <c r="BG131" s="1499"/>
      <c r="BH131" s="1499"/>
      <c r="BI131" s="1499"/>
      <c r="BJ131" s="1499"/>
      <c r="BK131" s="1499"/>
      <c r="BL131" s="1499"/>
      <c r="BM131" s="1499"/>
      <c r="BN131" s="1499"/>
      <c r="BO131" s="1499"/>
      <c r="BP131" s="1499"/>
      <c r="BQ131" s="1499"/>
      <c r="BR131" s="1499"/>
      <c r="BS131" s="1499"/>
      <c r="BT131" s="1499"/>
      <c r="BU131" s="1499"/>
      <c r="BV131" s="1499"/>
      <c r="BW131" s="1499"/>
      <c r="BX131" s="1499"/>
      <c r="BY131" s="1499"/>
      <c r="BZ131" s="1499"/>
      <c r="CA131" s="1499"/>
      <c r="CB131" s="1499"/>
      <c r="CC131" s="1499"/>
      <c r="CD131" s="1499"/>
      <c r="CE131" s="1499"/>
    </row>
    <row r="132" spans="1:83" s="14359" customFormat="1" ht="11.25" customHeight="1">
      <c r="A132" s="1668"/>
      <c r="B132" s="1041"/>
      <c r="C132" s="327"/>
      <c r="D132" s="16359"/>
      <c r="E132" s="551" t="s">
        <v>24</v>
      </c>
      <c r="F132" s="1049" t="s">
        <v>24</v>
      </c>
      <c r="G132" s="1049" t="s">
        <v>1982</v>
      </c>
      <c r="H132" s="553" t="s">
        <v>24</v>
      </c>
      <c r="I132" s="553"/>
      <c r="J132" s="553"/>
      <c r="K132" s="553"/>
      <c r="L132" s="553"/>
      <c r="M132" s="553"/>
      <c r="N132" s="553"/>
      <c r="O132" s="553"/>
      <c r="P132" s="553"/>
      <c r="Q132" s="553"/>
      <c r="R132" s="554"/>
      <c r="S132" s="555"/>
      <c r="T132" s="618"/>
      <c r="U132" s="16123"/>
      <c r="V132" s="16123"/>
      <c r="W132" s="1041"/>
      <c r="X132" s="1041"/>
      <c r="Y132" s="1041"/>
      <c r="Z132" s="1041"/>
      <c r="AA132" s="1499"/>
      <c r="AB132" s="1041"/>
      <c r="AC132" s="16209"/>
      <c r="AD132" s="531"/>
      <c r="AE132" s="1041"/>
      <c r="AF132" s="1041"/>
      <c r="AG132" s="1499"/>
      <c r="AH132" s="1499"/>
      <c r="AI132" s="1499"/>
      <c r="AJ132" s="1499"/>
      <c r="AK132" s="1499"/>
      <c r="AL132" s="1499"/>
      <c r="AM132" s="1499"/>
      <c r="AN132" s="1499"/>
      <c r="AO132" s="1499"/>
      <c r="AP132" s="1499"/>
      <c r="AQ132" s="1499"/>
      <c r="AR132" s="1499"/>
      <c r="AS132" s="1499"/>
      <c r="AT132" s="1499"/>
      <c r="AU132" s="1499"/>
      <c r="AV132" s="1499"/>
      <c r="AW132" s="1499"/>
      <c r="AX132" s="1499"/>
      <c r="AY132" s="1499"/>
      <c r="AZ132" s="1499"/>
      <c r="BA132" s="1499"/>
      <c r="BB132" s="1499"/>
      <c r="BC132" s="1499"/>
      <c r="BD132" s="1499"/>
      <c r="BE132" s="1499"/>
      <c r="BF132" s="1499"/>
      <c r="BG132" s="1499"/>
      <c r="BH132" s="1499"/>
      <c r="BI132" s="1499"/>
      <c r="BJ132" s="1499"/>
      <c r="BK132" s="1499"/>
      <c r="BL132" s="1499"/>
      <c r="BM132" s="1499"/>
      <c r="BN132" s="1499"/>
      <c r="BO132" s="1499"/>
      <c r="BP132" s="1499"/>
      <c r="BQ132" s="1499"/>
      <c r="BR132" s="1499"/>
      <c r="BS132" s="1499"/>
      <c r="BT132" s="1499"/>
      <c r="BU132" s="1499"/>
      <c r="BV132" s="1041"/>
      <c r="BW132" s="1041"/>
      <c r="BX132" s="1041"/>
      <c r="BY132" s="1041"/>
      <c r="BZ132" s="1041"/>
      <c r="CA132" s="1041"/>
      <c r="CB132" s="1041"/>
      <c r="CC132" s="1041"/>
      <c r="CD132" s="1041"/>
      <c r="CE132" s="1041"/>
    </row>
    <row r="133" spans="1:83" s="14391" customFormat="1" ht="5.25" hidden="1" customHeight="1">
      <c r="A133" s="1655"/>
      <c r="B133" s="1499"/>
      <c r="C133" s="1499"/>
      <c r="D133" s="16359"/>
      <c r="E133" s="927"/>
      <c r="F133" s="927"/>
      <c r="G133" s="927"/>
      <c r="H133" s="927"/>
      <c r="I133" s="927"/>
      <c r="J133" s="927"/>
      <c r="K133" s="927"/>
      <c r="L133" s="927"/>
      <c r="M133" s="927"/>
      <c r="N133" s="927"/>
      <c r="O133" s="927"/>
      <c r="P133" s="927"/>
      <c r="Q133" s="928"/>
      <c r="R133" s="929"/>
      <c r="S133" s="930"/>
      <c r="T133" s="617" t="s">
        <v>750</v>
      </c>
      <c r="U133" s="16123">
        <v>1</v>
      </c>
      <c r="V133" s="16123" t="s">
        <v>713</v>
      </c>
      <c r="W133" s="1499"/>
      <c r="X133" s="1499"/>
      <c r="Y133" s="1499"/>
      <c r="Z133" s="1499"/>
      <c r="AA133" s="1499"/>
      <c r="AB133" s="1499"/>
      <c r="AC133" s="925"/>
      <c r="AD133" s="926"/>
      <c r="AE133" s="1499"/>
      <c r="AF133" s="1499"/>
      <c r="AG133" s="1499"/>
      <c r="AH133" s="1499"/>
      <c r="AI133" s="1499"/>
      <c r="AJ133" s="1499"/>
      <c r="AK133" s="1499"/>
      <c r="AL133" s="1499"/>
      <c r="AM133" s="1499"/>
      <c r="AN133" s="1499"/>
      <c r="AO133" s="1499"/>
      <c r="AP133" s="1499"/>
      <c r="AQ133" s="1499"/>
      <c r="AR133" s="1499"/>
      <c r="AS133" s="1499"/>
      <c r="AT133" s="1499"/>
      <c r="AU133" s="1499"/>
      <c r="AV133" s="1499"/>
      <c r="AW133" s="1499"/>
      <c r="AX133" s="1499"/>
      <c r="AY133" s="1499"/>
      <c r="AZ133" s="1499"/>
      <c r="BA133" s="1499"/>
      <c r="BB133" s="1499"/>
      <c r="BC133" s="1499"/>
      <c r="BD133" s="1499"/>
      <c r="BE133" s="1499"/>
      <c r="BF133" s="1499"/>
      <c r="BG133" s="1499"/>
      <c r="BH133" s="1499"/>
      <c r="BI133" s="1499"/>
      <c r="BJ133" s="1499"/>
      <c r="BK133" s="1499"/>
      <c r="BL133" s="1499"/>
      <c r="BM133" s="1499"/>
      <c r="BN133" s="1499"/>
      <c r="BO133" s="1499"/>
      <c r="BP133" s="1499"/>
      <c r="BQ133" s="1499"/>
      <c r="BR133" s="1499"/>
      <c r="BS133" s="1499"/>
      <c r="BT133" s="1499"/>
      <c r="BU133" s="1499"/>
      <c r="BV133" s="1499"/>
      <c r="BW133" s="1499"/>
      <c r="BX133" s="1499"/>
      <c r="BY133" s="1499"/>
      <c r="BZ133" s="1499"/>
      <c r="CA133" s="1499"/>
      <c r="CB133" s="1499"/>
      <c r="CC133" s="1499"/>
      <c r="CD133" s="1499"/>
      <c r="CE133" s="1499"/>
    </row>
    <row r="134" spans="1:83" s="14391" customFormat="1" ht="5.25" hidden="1" customHeight="1">
      <c r="A134" s="1655"/>
      <c r="B134" s="1499"/>
      <c r="C134" s="1499"/>
      <c r="D134" s="16359"/>
      <c r="E134" s="537"/>
      <c r="F134" s="537"/>
      <c r="G134" s="537"/>
      <c r="H134" s="537"/>
      <c r="I134" s="537"/>
      <c r="J134" s="537"/>
      <c r="K134" s="537"/>
      <c r="L134" s="537"/>
      <c r="M134" s="537"/>
      <c r="N134" s="537"/>
      <c r="O134" s="537"/>
      <c r="P134" s="537"/>
      <c r="Q134" s="537"/>
      <c r="R134" s="537"/>
      <c r="S134" s="538"/>
      <c r="T134" s="618"/>
      <c r="U134" s="16123"/>
      <c r="V134" s="16123"/>
      <c r="W134" s="1499"/>
      <c r="X134" s="1499"/>
      <c r="Y134" s="1499"/>
      <c r="Z134" s="1499"/>
      <c r="AA134" s="1499"/>
      <c r="AB134" s="1499"/>
      <c r="AC134" s="925"/>
      <c r="AD134" s="926"/>
      <c r="AE134" s="1499"/>
      <c r="AF134" s="1499"/>
      <c r="AG134" s="1499"/>
      <c r="AH134" s="1499"/>
      <c r="AI134" s="1499"/>
      <c r="AJ134" s="1499"/>
      <c r="AK134" s="1499"/>
      <c r="AL134" s="1499"/>
      <c r="AM134" s="1499"/>
      <c r="AN134" s="1499"/>
      <c r="AO134" s="1499"/>
      <c r="AP134" s="1499"/>
      <c r="AQ134" s="1499"/>
      <c r="AR134" s="1499"/>
      <c r="AS134" s="1499"/>
      <c r="AT134" s="1499"/>
      <c r="AU134" s="1499"/>
      <c r="AV134" s="1499"/>
      <c r="AW134" s="1499"/>
      <c r="AX134" s="1499"/>
      <c r="AY134" s="1499"/>
      <c r="AZ134" s="1499"/>
      <c r="BA134" s="1499"/>
      <c r="BB134" s="1499"/>
      <c r="BC134" s="1499"/>
      <c r="BD134" s="1499"/>
      <c r="BE134" s="1499"/>
      <c r="BF134" s="1499"/>
      <c r="BG134" s="1499"/>
      <c r="BH134" s="1499"/>
      <c r="BI134" s="1499"/>
      <c r="BJ134" s="1499"/>
      <c r="BK134" s="1499"/>
      <c r="BL134" s="1499"/>
      <c r="BM134" s="1499"/>
      <c r="BN134" s="1499"/>
      <c r="BO134" s="1499"/>
      <c r="BP134" s="1499"/>
      <c r="BQ134" s="1499"/>
      <c r="BR134" s="1499"/>
      <c r="BS134" s="1499"/>
      <c r="BT134" s="1499"/>
      <c r="BU134" s="1499"/>
      <c r="BV134" s="1499"/>
      <c r="BW134" s="1499"/>
      <c r="BX134" s="1499"/>
      <c r="BY134" s="1499"/>
      <c r="BZ134" s="1499"/>
      <c r="CA134" s="1499"/>
      <c r="CB134" s="1499"/>
      <c r="CC134" s="1499"/>
      <c r="CD134" s="1499"/>
      <c r="CE134" s="1499"/>
    </row>
    <row r="135" spans="1:83" s="14391" customFormat="1" ht="5.25" hidden="1" customHeight="1">
      <c r="A135" s="1655"/>
      <c r="B135" s="1499"/>
      <c r="C135" s="1499"/>
      <c r="D135" s="16360"/>
      <c r="E135" s="931"/>
      <c r="F135" s="932"/>
      <c r="G135" s="932"/>
      <c r="H135" s="933"/>
      <c r="I135" s="933"/>
      <c r="J135" s="933"/>
      <c r="K135" s="933"/>
      <c r="L135" s="933"/>
      <c r="M135" s="933"/>
      <c r="N135" s="933"/>
      <c r="O135" s="933"/>
      <c r="P135" s="933"/>
      <c r="Q135" s="933"/>
      <c r="R135" s="836"/>
      <c r="S135" s="934"/>
      <c r="T135" s="618"/>
      <c r="U135" s="16123"/>
      <c r="V135" s="16123"/>
      <c r="W135" s="1499"/>
      <c r="X135" s="1499"/>
      <c r="Y135" s="1499"/>
      <c r="Z135" s="1499"/>
      <c r="AA135" s="1499"/>
      <c r="AB135" s="1499"/>
      <c r="AC135" s="925"/>
      <c r="AD135" s="926"/>
      <c r="AE135" s="1499"/>
      <c r="AF135" s="1499"/>
      <c r="AG135" s="1499"/>
      <c r="AH135" s="1499"/>
      <c r="AI135" s="1499"/>
      <c r="AJ135" s="1499"/>
      <c r="AK135" s="1499"/>
      <c r="AL135" s="1499"/>
      <c r="AM135" s="1499"/>
      <c r="AN135" s="1499"/>
      <c r="AO135" s="1499"/>
      <c r="AP135" s="1499"/>
      <c r="AQ135" s="1499"/>
      <c r="AR135" s="1499"/>
      <c r="AS135" s="1499"/>
      <c r="AT135" s="1499"/>
      <c r="AU135" s="1499"/>
      <c r="AV135" s="1499"/>
      <c r="AW135" s="1499"/>
      <c r="AX135" s="1499"/>
      <c r="AY135" s="1499"/>
      <c r="AZ135" s="1499"/>
      <c r="BA135" s="1499"/>
      <c r="BB135" s="1499"/>
      <c r="BC135" s="1499"/>
      <c r="BD135" s="1499"/>
      <c r="BE135" s="1499"/>
      <c r="BF135" s="1499"/>
      <c r="BG135" s="1499"/>
      <c r="BH135" s="1499"/>
      <c r="BI135" s="1499"/>
      <c r="BJ135" s="1499"/>
      <c r="BK135" s="1499"/>
      <c r="BL135" s="1499"/>
      <c r="BM135" s="1499"/>
      <c r="BN135" s="1499"/>
      <c r="BO135" s="1499"/>
      <c r="BP135" s="1499"/>
      <c r="BQ135" s="1499"/>
      <c r="BR135" s="1499"/>
      <c r="BS135" s="1499"/>
      <c r="BT135" s="1499"/>
      <c r="BU135" s="1499"/>
      <c r="BV135" s="1499"/>
      <c r="BW135" s="1499"/>
      <c r="BX135" s="1499"/>
      <c r="BY135" s="1499"/>
      <c r="BZ135" s="1499"/>
      <c r="CA135" s="1499"/>
      <c r="CB135" s="1499"/>
      <c r="CC135" s="1499"/>
      <c r="CD135" s="1499"/>
      <c r="CE135" s="1499"/>
    </row>
    <row r="136" spans="1:83" ht="17.25" customHeight="1">
      <c r="D136" s="1696"/>
    </row>
    <row r="137" spans="1:83" s="15923" customFormat="1" ht="11.25" customHeight="1">
      <c r="A137" s="1677" t="s">
        <v>1984</v>
      </c>
    </row>
    <row r="139" spans="1:83" s="14359" customFormat="1" ht="45" customHeight="1">
      <c r="A139" s="1668"/>
      <c r="B139" s="1041"/>
      <c r="C139" s="327"/>
      <c r="D139" s="25"/>
      <c r="E139" s="16353"/>
      <c r="F139" s="15974" t="s">
        <v>147</v>
      </c>
      <c r="G139" s="16356" t="s">
        <v>24</v>
      </c>
      <c r="H139" s="206"/>
      <c r="I139" s="539" t="s">
        <v>147</v>
      </c>
      <c r="J139" s="1669" t="s">
        <v>1985</v>
      </c>
      <c r="K139" s="540" t="s">
        <v>684</v>
      </c>
      <c r="L139" s="16097" t="s">
        <v>684</v>
      </c>
      <c r="M139" s="16020"/>
      <c r="N139" s="540" t="s">
        <v>684</v>
      </c>
      <c r="O139" s="540" t="s">
        <v>684</v>
      </c>
      <c r="P139" s="540" t="s">
        <v>684</v>
      </c>
      <c r="Q139" s="541">
        <f>SUM(Q140:Q142)</f>
        <v>0</v>
      </c>
      <c r="R139" s="541">
        <f>IF(R136=0,0,(Q136/R136)*100)</f>
        <v>0</v>
      </c>
      <c r="S139" s="16059"/>
      <c r="T139" s="617" t="s">
        <v>750</v>
      </c>
      <c r="U139" s="25"/>
      <c r="V139" s="25"/>
      <c r="AC139" s="25"/>
    </row>
    <row r="140" spans="1:83" s="14359" customFormat="1" ht="11.25" customHeight="1">
      <c r="A140" s="1668"/>
      <c r="B140" s="1041"/>
      <c r="C140" s="327"/>
      <c r="D140" s="25"/>
      <c r="E140" s="16354"/>
      <c r="F140" s="15974"/>
      <c r="G140" s="16356"/>
      <c r="H140" s="15992"/>
      <c r="I140" s="16248" t="s">
        <v>1077</v>
      </c>
      <c r="J140" s="16351"/>
      <c r="K140" s="16352"/>
      <c r="L140" s="542"/>
      <c r="M140" s="543" t="s">
        <v>147</v>
      </c>
      <c r="N140" s="1657"/>
      <c r="O140" s="544"/>
      <c r="P140" s="545"/>
      <c r="Q140" s="544"/>
      <c r="R140" s="546">
        <v>0</v>
      </c>
      <c r="S140" s="16059"/>
      <c r="T140" s="617"/>
      <c r="U140" s="25"/>
      <c r="V140" s="25"/>
      <c r="AC140" s="25"/>
    </row>
    <row r="141" spans="1:83" s="14359" customFormat="1" ht="11.25" customHeight="1">
      <c r="A141" s="1668"/>
      <c r="B141" s="1041"/>
      <c r="C141" s="327"/>
      <c r="D141" s="25"/>
      <c r="E141" s="16354"/>
      <c r="F141" s="15974"/>
      <c r="G141" s="16356"/>
      <c r="H141" s="15992"/>
      <c r="I141" s="16248"/>
      <c r="J141" s="16351"/>
      <c r="K141" s="16046"/>
      <c r="L141" s="547"/>
      <c r="M141" s="548"/>
      <c r="N141" s="549" t="s">
        <v>1986</v>
      </c>
      <c r="O141" s="549"/>
      <c r="P141" s="549"/>
      <c r="Q141" s="549"/>
      <c r="R141" s="550"/>
      <c r="S141" s="16059"/>
      <c r="T141" s="617"/>
      <c r="U141" s="25"/>
      <c r="V141" s="25"/>
      <c r="AC141" s="25"/>
    </row>
    <row r="142" spans="1:83" s="14359" customFormat="1" ht="11.25" customHeight="1">
      <c r="A142" s="1668"/>
      <c r="B142" s="1041"/>
      <c r="C142" s="327"/>
      <c r="D142" s="25"/>
      <c r="E142" s="16355"/>
      <c r="F142" s="15974"/>
      <c r="G142" s="16357"/>
      <c r="H142" s="547" t="s">
        <v>24</v>
      </c>
      <c r="I142" s="548"/>
      <c r="J142" s="549" t="s">
        <v>1987</v>
      </c>
      <c r="K142" s="549"/>
      <c r="L142" s="549"/>
      <c r="M142" s="549"/>
      <c r="N142" s="549"/>
      <c r="O142" s="549"/>
      <c r="P142" s="549"/>
      <c r="Q142" s="549"/>
      <c r="R142" s="550"/>
      <c r="S142" s="16059"/>
      <c r="T142" s="617"/>
      <c r="U142" s="25"/>
      <c r="V142" s="25"/>
      <c r="AC142" s="25"/>
    </row>
    <row r="147" spans="1:43" s="14359" customFormat="1" ht="11.25" customHeight="1">
      <c r="A147" s="1668"/>
      <c r="B147" s="1041"/>
      <c r="C147" s="327"/>
      <c r="D147" s="25"/>
      <c r="E147" s="1690"/>
      <c r="F147" s="1690"/>
      <c r="G147" s="1690"/>
      <c r="H147" s="15992"/>
      <c r="I147" s="16248" t="s">
        <v>1077</v>
      </c>
      <c r="J147" s="16351"/>
      <c r="K147" s="16352"/>
      <c r="L147" s="542"/>
      <c r="M147" s="543" t="s">
        <v>147</v>
      </c>
      <c r="N147" s="1657"/>
      <c r="O147" s="544"/>
      <c r="P147" s="545"/>
      <c r="Q147" s="544"/>
      <c r="R147" s="546">
        <v>0</v>
      </c>
      <c r="S147" s="25"/>
      <c r="T147" s="617"/>
      <c r="U147" s="25"/>
      <c r="V147" s="25"/>
      <c r="AC147" s="25"/>
    </row>
    <row r="148" spans="1:43" s="14359" customFormat="1" ht="11.25" customHeight="1">
      <c r="A148" s="1668"/>
      <c r="B148" s="1041"/>
      <c r="C148" s="327"/>
      <c r="D148" s="25"/>
      <c r="E148" s="1690"/>
      <c r="F148" s="1690"/>
      <c r="G148" s="1690"/>
      <c r="H148" s="15992"/>
      <c r="I148" s="16248"/>
      <c r="J148" s="16351"/>
      <c r="K148" s="16046"/>
      <c r="L148" s="547"/>
      <c r="M148" s="548"/>
      <c r="N148" s="549" t="s">
        <v>1986</v>
      </c>
      <c r="O148" s="549"/>
      <c r="P148" s="549"/>
      <c r="Q148" s="549"/>
      <c r="R148" s="550"/>
      <c r="S148" s="25"/>
      <c r="T148" s="617"/>
      <c r="U148" s="25"/>
      <c r="V148" s="25"/>
      <c r="AC148" s="25"/>
    </row>
    <row r="150" spans="1:43" s="14359" customFormat="1" ht="11.25" customHeight="1">
      <c r="A150" s="1668"/>
      <c r="B150" s="1041"/>
      <c r="C150" s="327"/>
      <c r="D150" s="25"/>
      <c r="E150" s="1697"/>
      <c r="F150" s="1695"/>
      <c r="G150" s="1695"/>
      <c r="H150" s="1698"/>
      <c r="I150" s="1690"/>
      <c r="J150" s="1691"/>
      <c r="K150" s="1691"/>
      <c r="L150" s="542"/>
      <c r="M150" s="543" t="s">
        <v>147</v>
      </c>
      <c r="N150" s="1657"/>
      <c r="O150" s="544"/>
      <c r="P150" s="545"/>
      <c r="Q150" s="544"/>
      <c r="R150" s="546">
        <v>0</v>
      </c>
      <c r="S150" s="25"/>
      <c r="T150" s="617"/>
      <c r="U150" s="25"/>
      <c r="V150" s="25"/>
      <c r="AC150" s="25"/>
    </row>
    <row r="152" spans="1:43" s="15923" customFormat="1" ht="17.25" customHeight="1">
      <c r="A152" s="1677" t="s">
        <v>1988</v>
      </c>
    </row>
    <row r="153" spans="1:43" ht="17.25" customHeight="1">
      <c r="G153" s="1699"/>
      <c r="H153" s="1699"/>
      <c r="I153" s="1699"/>
      <c r="M153" s="1695"/>
    </row>
    <row r="154" spans="1:43" s="15927" customFormat="1" ht="17.25" customHeight="1">
      <c r="A154" s="1700"/>
      <c r="C154" s="1702"/>
      <c r="D154" s="16047"/>
      <c r="E154" s="16008"/>
      <c r="F154" s="16010"/>
      <c r="G154" s="16040"/>
      <c r="H154" s="16047"/>
      <c r="I154" s="16047">
        <v>1</v>
      </c>
      <c r="J154" s="16043"/>
      <c r="K154" s="16044" t="s">
        <v>66</v>
      </c>
      <c r="L154" s="15974"/>
      <c r="M154" s="15974" t="s">
        <v>147</v>
      </c>
      <c r="N154" s="16051" t="str">
        <f>IF(Z154="","",INDEX(TERRITORY_MR_LIST,MATCH(Z154,TERRITORY_LIST_ID,0)))</f>
        <v/>
      </c>
      <c r="O154" s="16044" t="s">
        <v>66</v>
      </c>
      <c r="P154" s="15974"/>
      <c r="Q154" s="15974" t="s">
        <v>147</v>
      </c>
      <c r="R154" s="16046" t="s">
        <v>24</v>
      </c>
      <c r="S154" s="15973" t="s">
        <v>66</v>
      </c>
      <c r="T154" s="1673"/>
      <c r="U154" s="1673" t="s">
        <v>147</v>
      </c>
      <c r="V154" s="1703" t="s">
        <v>24</v>
      </c>
      <c r="W154" s="1663"/>
      <c r="Y154" s="1149"/>
      <c r="Z154" s="1149"/>
      <c r="AA154" s="1149"/>
      <c r="AB154" s="1149"/>
      <c r="AC154" s="1149"/>
      <c r="AD154" s="1149"/>
      <c r="AE154" s="1149"/>
      <c r="AF154" s="1149"/>
      <c r="AG154" s="1149"/>
      <c r="AH154" s="1149"/>
      <c r="AI154" s="1149"/>
      <c r="AJ154" s="1149"/>
      <c r="AK154" s="1149"/>
      <c r="AL154" s="1704"/>
      <c r="AM154" s="1704"/>
      <c r="AN154" s="1149"/>
      <c r="AO154" s="1149"/>
      <c r="AP154" s="1149"/>
      <c r="AQ154" s="1149"/>
    </row>
    <row r="155" spans="1:43" s="15927" customFormat="1" ht="17.25" customHeight="1">
      <c r="A155" s="1700"/>
      <c r="C155" s="1705"/>
      <c r="D155" s="16047"/>
      <c r="E155" s="16008"/>
      <c r="F155" s="16011"/>
      <c r="G155" s="16040"/>
      <c r="H155" s="16047"/>
      <c r="I155" s="16047"/>
      <c r="J155" s="16043"/>
      <c r="K155" s="16045"/>
      <c r="L155" s="15974"/>
      <c r="M155" s="15974"/>
      <c r="N155" s="16051"/>
      <c r="O155" s="16045"/>
      <c r="P155" s="15974"/>
      <c r="Q155" s="15974"/>
      <c r="R155" s="16046"/>
      <c r="S155" s="15973"/>
      <c r="T155" s="234"/>
      <c r="U155" s="235"/>
      <c r="V155" s="235" t="s">
        <v>551</v>
      </c>
      <c r="W155" s="236"/>
      <c r="Y155" s="1142"/>
      <c r="Z155" s="1142"/>
      <c r="AA155" s="1142"/>
      <c r="AB155" s="1142"/>
      <c r="AC155" s="1142"/>
      <c r="AD155" s="1142"/>
      <c r="AE155" s="1142"/>
      <c r="AF155" s="1142"/>
      <c r="AG155" s="1142"/>
      <c r="AH155" s="1142"/>
      <c r="AI155" s="1142"/>
      <c r="AJ155" s="1142"/>
      <c r="AK155" s="1142"/>
    </row>
    <row r="156" spans="1:43" s="15927" customFormat="1" ht="17.25" customHeight="1">
      <c r="A156" s="1700"/>
      <c r="C156" s="1705"/>
      <c r="D156" s="16001"/>
      <c r="E156" s="16009"/>
      <c r="F156" s="16011"/>
      <c r="G156" s="16042"/>
      <c r="H156" s="16001"/>
      <c r="I156" s="16001"/>
      <c r="J156" s="16049"/>
      <c r="K156" s="16045"/>
      <c r="L156" s="16001"/>
      <c r="M156" s="16001"/>
      <c r="N156" s="16053"/>
      <c r="O156" s="15978"/>
      <c r="P156" s="234"/>
      <c r="Q156" s="235"/>
      <c r="R156" s="235" t="s">
        <v>290</v>
      </c>
      <c r="S156" s="1706"/>
      <c r="T156" s="1706"/>
      <c r="U156" s="1706"/>
      <c r="V156" s="1706"/>
      <c r="W156" s="236"/>
      <c r="Y156" s="1142"/>
      <c r="Z156" s="1142"/>
      <c r="AA156" s="1142"/>
      <c r="AB156" s="1142"/>
      <c r="AC156" s="1142"/>
      <c r="AD156" s="1142"/>
      <c r="AE156" s="1142"/>
      <c r="AF156" s="1142"/>
      <c r="AG156" s="1142"/>
      <c r="AH156" s="1142"/>
      <c r="AI156" s="1142"/>
      <c r="AJ156" s="1142"/>
      <c r="AK156" s="1142"/>
    </row>
    <row r="157" spans="1:43" s="15927" customFormat="1" ht="17.25" customHeight="1">
      <c r="A157" s="1700"/>
      <c r="C157" s="1705"/>
      <c r="D157" s="16001"/>
      <c r="E157" s="16009"/>
      <c r="F157" s="16011"/>
      <c r="G157" s="16042"/>
      <c r="H157" s="16001"/>
      <c r="I157" s="16001"/>
      <c r="J157" s="16049"/>
      <c r="K157" s="15978"/>
      <c r="L157" s="234"/>
      <c r="M157" s="235"/>
      <c r="N157" s="235" t="s">
        <v>326</v>
      </c>
      <c r="O157" s="235"/>
      <c r="P157" s="235"/>
      <c r="Q157" s="235"/>
      <c r="R157" s="235"/>
      <c r="S157" s="1706"/>
      <c r="T157" s="1706"/>
      <c r="U157" s="1706"/>
      <c r="V157" s="1706"/>
      <c r="W157" s="236"/>
      <c r="Y157" s="1142"/>
      <c r="Z157" s="1142"/>
      <c r="AA157" s="1142"/>
      <c r="AB157" s="1142"/>
      <c r="AC157" s="1142"/>
      <c r="AD157" s="1142"/>
      <c r="AE157" s="1142"/>
      <c r="AF157" s="1142"/>
      <c r="AG157" s="1142"/>
      <c r="AH157" s="1142"/>
      <c r="AI157" s="1142"/>
      <c r="AJ157" s="1142"/>
      <c r="AK157" s="1142"/>
    </row>
    <row r="158" spans="1:43" s="15927" customFormat="1" ht="17.25" customHeight="1">
      <c r="A158" s="1700"/>
      <c r="C158" s="1705"/>
      <c r="D158" s="16001"/>
      <c r="E158" s="16009"/>
      <c r="F158" s="16012"/>
      <c r="G158" s="16042"/>
      <c r="H158" s="234"/>
      <c r="I158" s="235"/>
      <c r="J158" s="235" t="s">
        <v>390</v>
      </c>
      <c r="K158" s="235"/>
      <c r="L158" s="235"/>
      <c r="M158" s="235"/>
      <c r="N158" s="235"/>
      <c r="O158" s="235"/>
      <c r="P158" s="235"/>
      <c r="Q158" s="235"/>
      <c r="R158" s="235"/>
      <c r="S158" s="1706"/>
      <c r="T158" s="1706"/>
      <c r="U158" s="1706"/>
      <c r="V158" s="1706"/>
      <c r="W158" s="236"/>
      <c r="Y158" s="1142"/>
      <c r="Z158" s="1142"/>
      <c r="AA158" s="1142"/>
      <c r="AB158" s="1142"/>
      <c r="AC158" s="1142"/>
      <c r="AD158" s="1142"/>
      <c r="AE158" s="1142"/>
      <c r="AF158" s="1142"/>
      <c r="AG158" s="1142"/>
      <c r="AH158" s="1142"/>
      <c r="AI158" s="1142"/>
      <c r="AJ158" s="1142"/>
      <c r="AK158" s="1142"/>
    </row>
    <row r="159" spans="1:43" ht="17.25" customHeight="1">
      <c r="G159" s="1699"/>
      <c r="H159" s="1699"/>
      <c r="I159" s="1699"/>
      <c r="M159" s="1695"/>
    </row>
    <row r="160" spans="1:43" s="15927" customFormat="1" ht="17.25" customHeight="1">
      <c r="A160" s="1700"/>
      <c r="C160" s="1702"/>
      <c r="D160" s="1690"/>
      <c r="E160" s="1707"/>
      <c r="F160" s="1646"/>
      <c r="G160" s="1708"/>
      <c r="H160" s="16047"/>
      <c r="I160" s="16047">
        <v>1</v>
      </c>
      <c r="J160" s="16043"/>
      <c r="K160" s="16044" t="s">
        <v>66</v>
      </c>
      <c r="L160" s="15974"/>
      <c r="M160" s="15974" t="s">
        <v>147</v>
      </c>
      <c r="N160" s="16051" t="str">
        <f>IF(Z160="","",INDEX(TERRITORY_MR_LIST,MATCH(Z160,TERRITORY_LIST_ID,0)))</f>
        <v/>
      </c>
      <c r="O160" s="16044" t="s">
        <v>66</v>
      </c>
      <c r="P160" s="15974"/>
      <c r="Q160" s="15974" t="s">
        <v>147</v>
      </c>
      <c r="R160" s="16046" t="s">
        <v>24</v>
      </c>
      <c r="S160" s="15973" t="s">
        <v>66</v>
      </c>
      <c r="T160" s="1673"/>
      <c r="U160" s="1673" t="s">
        <v>147</v>
      </c>
      <c r="V160" s="1703" t="s">
        <v>24</v>
      </c>
      <c r="W160" s="1663"/>
      <c r="Y160" s="1149"/>
      <c r="Z160" s="1149"/>
      <c r="AA160" s="1149"/>
      <c r="AB160" s="1149"/>
      <c r="AC160" s="1149"/>
      <c r="AD160" s="1149"/>
      <c r="AE160" s="1149"/>
      <c r="AF160" s="1149"/>
      <c r="AG160" s="1149"/>
      <c r="AH160" s="1149"/>
      <c r="AI160" s="1149"/>
      <c r="AJ160" s="1149"/>
      <c r="AK160" s="1149"/>
      <c r="AL160" s="1704"/>
      <c r="AM160" s="1704"/>
      <c r="AN160" s="1149"/>
      <c r="AO160" s="1149"/>
      <c r="AP160" s="1149"/>
      <c r="AQ160" s="1149"/>
    </row>
    <row r="161" spans="1:43" s="15927" customFormat="1" ht="17.25" customHeight="1">
      <c r="A161" s="1700"/>
      <c r="C161" s="1705"/>
      <c r="D161" s="1690"/>
      <c r="E161" s="1707"/>
      <c r="F161" s="1646"/>
      <c r="G161" s="1708"/>
      <c r="H161" s="16047"/>
      <c r="I161" s="16047"/>
      <c r="J161" s="16043"/>
      <c r="K161" s="16045"/>
      <c r="L161" s="15974"/>
      <c r="M161" s="15974"/>
      <c r="N161" s="16051"/>
      <c r="O161" s="16045"/>
      <c r="P161" s="15974"/>
      <c r="Q161" s="15974"/>
      <c r="R161" s="16046"/>
      <c r="S161" s="15973"/>
      <c r="T161" s="234"/>
      <c r="U161" s="235"/>
      <c r="V161" s="235" t="s">
        <v>551</v>
      </c>
      <c r="W161" s="236"/>
      <c r="Y161" s="1142"/>
      <c r="Z161" s="1142"/>
      <c r="AA161" s="1142"/>
      <c r="AB161" s="1142"/>
      <c r="AC161" s="1142"/>
      <c r="AD161" s="1142"/>
      <c r="AE161" s="1142"/>
      <c r="AF161" s="1142"/>
      <c r="AG161" s="1142"/>
      <c r="AH161" s="1142"/>
      <c r="AI161" s="1142"/>
      <c r="AJ161" s="1142"/>
      <c r="AK161" s="1142"/>
    </row>
    <row r="162" spans="1:43" s="15927" customFormat="1" ht="17.25" customHeight="1">
      <c r="A162" s="1700"/>
      <c r="C162" s="1705"/>
      <c r="D162" s="1690"/>
      <c r="E162" s="1707"/>
      <c r="F162" s="1646"/>
      <c r="G162" s="1708"/>
      <c r="H162" s="16001"/>
      <c r="I162" s="16001"/>
      <c r="J162" s="16049"/>
      <c r="K162" s="16045"/>
      <c r="L162" s="16001"/>
      <c r="M162" s="16001"/>
      <c r="N162" s="16053"/>
      <c r="O162" s="15978"/>
      <c r="P162" s="234"/>
      <c r="Q162" s="235"/>
      <c r="R162" s="235" t="s">
        <v>290</v>
      </c>
      <c r="S162" s="1706"/>
      <c r="T162" s="1706"/>
      <c r="U162" s="1706"/>
      <c r="V162" s="1706"/>
      <c r="W162" s="236"/>
      <c r="Y162" s="1142"/>
      <c r="Z162" s="1142"/>
      <c r="AA162" s="1142"/>
      <c r="AB162" s="1142"/>
      <c r="AC162" s="1142"/>
      <c r="AD162" s="1142"/>
      <c r="AE162" s="1142"/>
      <c r="AF162" s="1142"/>
      <c r="AG162" s="1142"/>
      <c r="AH162" s="1142"/>
      <c r="AI162" s="1142"/>
      <c r="AJ162" s="1142"/>
      <c r="AK162" s="1142"/>
    </row>
    <row r="163" spans="1:43" s="15927" customFormat="1" ht="17.25" customHeight="1">
      <c r="A163" s="1700"/>
      <c r="C163" s="1705"/>
      <c r="D163" s="1690"/>
      <c r="E163" s="1707"/>
      <c r="F163" s="1646"/>
      <c r="G163" s="1708"/>
      <c r="H163" s="16001"/>
      <c r="I163" s="16001"/>
      <c r="J163" s="16049"/>
      <c r="K163" s="15978"/>
      <c r="L163" s="234"/>
      <c r="M163" s="235"/>
      <c r="N163" s="235" t="s">
        <v>326</v>
      </c>
      <c r="O163" s="235"/>
      <c r="P163" s="235"/>
      <c r="Q163" s="235"/>
      <c r="R163" s="235"/>
      <c r="S163" s="1706"/>
      <c r="T163" s="1706"/>
      <c r="U163" s="1706"/>
      <c r="V163" s="1706"/>
      <c r="W163" s="236"/>
      <c r="Y163" s="1142"/>
      <c r="Z163" s="1142"/>
      <c r="AA163" s="1142"/>
      <c r="AB163" s="1142"/>
      <c r="AC163" s="1142"/>
      <c r="AD163" s="1142"/>
      <c r="AE163" s="1142"/>
      <c r="AF163" s="1142"/>
      <c r="AG163" s="1142"/>
      <c r="AH163" s="1142"/>
      <c r="AI163" s="1142"/>
      <c r="AJ163" s="1142"/>
      <c r="AK163" s="1142"/>
    </row>
    <row r="164" spans="1:43" ht="17.25" customHeight="1">
      <c r="G164" s="1699"/>
      <c r="H164" s="1699"/>
      <c r="I164" s="1699"/>
      <c r="M164" s="1695"/>
    </row>
    <row r="165" spans="1:43" s="15927" customFormat="1" ht="17.25" customHeight="1">
      <c r="A165" s="1700"/>
      <c r="C165" s="1702"/>
      <c r="D165" s="1690"/>
      <c r="E165" s="1707"/>
      <c r="F165" s="1646"/>
      <c r="G165" s="1708"/>
      <c r="H165" s="1690"/>
      <c r="I165" s="1690"/>
      <c r="J165" s="1709"/>
      <c r="K165" s="1622"/>
      <c r="L165" s="15974"/>
      <c r="M165" s="15974" t="s">
        <v>147</v>
      </c>
      <c r="N165" s="16051" t="str">
        <f>IF(Z165="","",INDEX(TERRITORY_MR_LIST,MATCH(Z165,TERRITORY_LIST_ID,0)))</f>
        <v/>
      </c>
      <c r="O165" s="16044" t="s">
        <v>66</v>
      </c>
      <c r="P165" s="15974"/>
      <c r="Q165" s="15974" t="s">
        <v>147</v>
      </c>
      <c r="R165" s="16046" t="s">
        <v>24</v>
      </c>
      <c r="S165" s="15973" t="s">
        <v>66</v>
      </c>
      <c r="T165" s="1673"/>
      <c r="U165" s="1673" t="s">
        <v>147</v>
      </c>
      <c r="V165" s="1703" t="s">
        <v>24</v>
      </c>
      <c r="W165" s="1663"/>
      <c r="Y165" s="1149"/>
      <c r="Z165" s="1149"/>
      <c r="AA165" s="1149"/>
      <c r="AB165" s="1149"/>
      <c r="AC165" s="1149"/>
      <c r="AD165" s="1149"/>
      <c r="AE165" s="1149"/>
      <c r="AF165" s="1149"/>
      <c r="AG165" s="1149"/>
      <c r="AH165" s="1149"/>
      <c r="AI165" s="1149"/>
      <c r="AJ165" s="1149"/>
      <c r="AK165" s="1149"/>
      <c r="AL165" s="1704"/>
      <c r="AM165" s="1704"/>
      <c r="AN165" s="1149"/>
      <c r="AO165" s="1149"/>
      <c r="AP165" s="1149"/>
      <c r="AQ165" s="1149"/>
    </row>
    <row r="166" spans="1:43" s="15927" customFormat="1" ht="17.25" customHeight="1">
      <c r="A166" s="1700"/>
      <c r="C166" s="1705"/>
      <c r="D166" s="1690"/>
      <c r="E166" s="1707"/>
      <c r="F166" s="1646"/>
      <c r="G166" s="1708"/>
      <c r="H166" s="1690"/>
      <c r="I166" s="1690"/>
      <c r="J166" s="1709"/>
      <c r="K166" s="1622"/>
      <c r="L166" s="15974"/>
      <c r="M166" s="15974"/>
      <c r="N166" s="16051"/>
      <c r="O166" s="16045"/>
      <c r="P166" s="15974"/>
      <c r="Q166" s="15974"/>
      <c r="R166" s="16046"/>
      <c r="S166" s="15973"/>
      <c r="T166" s="234"/>
      <c r="U166" s="235"/>
      <c r="V166" s="235" t="s">
        <v>551</v>
      </c>
      <c r="W166" s="236"/>
      <c r="Y166" s="1142"/>
      <c r="Z166" s="1142"/>
      <c r="AA166" s="1142"/>
      <c r="AB166" s="1142"/>
      <c r="AC166" s="1142"/>
      <c r="AD166" s="1142"/>
      <c r="AE166" s="1142"/>
      <c r="AF166" s="1142"/>
      <c r="AG166" s="1142"/>
      <c r="AH166" s="1142"/>
      <c r="AI166" s="1142"/>
      <c r="AJ166" s="1142"/>
      <c r="AK166" s="1142"/>
    </row>
    <row r="167" spans="1:43" s="15927" customFormat="1" ht="17.25" customHeight="1">
      <c r="A167" s="1700"/>
      <c r="C167" s="1705"/>
      <c r="D167" s="1690"/>
      <c r="E167" s="1707"/>
      <c r="F167" s="1646"/>
      <c r="G167" s="1708"/>
      <c r="H167" s="1690"/>
      <c r="I167" s="1690"/>
      <c r="J167" s="1709"/>
      <c r="K167" s="1622"/>
      <c r="L167" s="16001"/>
      <c r="M167" s="16001"/>
      <c r="N167" s="16053"/>
      <c r="O167" s="15978"/>
      <c r="P167" s="234"/>
      <c r="Q167" s="235"/>
      <c r="R167" s="235" t="s">
        <v>290</v>
      </c>
      <c r="S167" s="1706"/>
      <c r="T167" s="1706"/>
      <c r="U167" s="1706"/>
      <c r="V167" s="1706"/>
      <c r="W167" s="236"/>
      <c r="Y167" s="1142"/>
      <c r="Z167" s="1142"/>
      <c r="AA167" s="1142"/>
      <c r="AB167" s="1142"/>
      <c r="AC167" s="1142"/>
      <c r="AD167" s="1142"/>
      <c r="AE167" s="1142"/>
      <c r="AF167" s="1142"/>
      <c r="AG167" s="1142"/>
      <c r="AH167" s="1142"/>
      <c r="AI167" s="1142"/>
      <c r="AJ167" s="1142"/>
      <c r="AK167" s="1142"/>
    </row>
    <row r="168" spans="1:43" ht="17.25" customHeight="1">
      <c r="G168" s="1699"/>
      <c r="H168" s="1699"/>
      <c r="I168" s="1699"/>
      <c r="M168" s="1695"/>
    </row>
    <row r="169" spans="1:43" s="15927" customFormat="1" ht="17.25" customHeight="1">
      <c r="A169" s="1700"/>
      <c r="C169" s="1702"/>
      <c r="D169" s="1690"/>
      <c r="E169" s="1707"/>
      <c r="F169" s="1646"/>
      <c r="G169" s="1708"/>
      <c r="H169" s="1690"/>
      <c r="I169" s="1690"/>
      <c r="J169" s="1709"/>
      <c r="K169" s="1622"/>
      <c r="L169" s="1618"/>
      <c r="M169" s="1618"/>
      <c r="N169" s="1710"/>
      <c r="O169" s="1649"/>
      <c r="P169" s="15974"/>
      <c r="Q169" s="15974" t="s">
        <v>147</v>
      </c>
      <c r="R169" s="16046" t="s">
        <v>24</v>
      </c>
      <c r="S169" s="15973" t="s">
        <v>66</v>
      </c>
      <c r="T169" s="1673"/>
      <c r="U169" s="1673" t="s">
        <v>147</v>
      </c>
      <c r="V169" s="1703" t="s">
        <v>24</v>
      </c>
      <c r="W169" s="1663"/>
      <c r="Y169" s="1149"/>
      <c r="Z169" s="1149"/>
      <c r="AA169" s="1149"/>
      <c r="AB169" s="1149"/>
      <c r="AC169" s="1149"/>
      <c r="AD169" s="1149"/>
      <c r="AE169" s="1149"/>
      <c r="AF169" s="1149"/>
      <c r="AG169" s="1149"/>
      <c r="AH169" s="1149"/>
      <c r="AI169" s="1149"/>
      <c r="AJ169" s="1149"/>
      <c r="AK169" s="1149"/>
      <c r="AL169" s="1704"/>
      <c r="AM169" s="1704"/>
      <c r="AN169" s="1149"/>
      <c r="AO169" s="1149"/>
      <c r="AP169" s="1149"/>
      <c r="AQ169" s="1149"/>
    </row>
    <row r="170" spans="1:43" s="15927" customFormat="1" ht="17.25" customHeight="1">
      <c r="A170" s="1700"/>
      <c r="C170" s="1705"/>
      <c r="D170" s="1690"/>
      <c r="E170" s="1707"/>
      <c r="F170" s="1646"/>
      <c r="G170" s="1708"/>
      <c r="H170" s="1690"/>
      <c r="I170" s="1690"/>
      <c r="J170" s="1709"/>
      <c r="K170" s="1622"/>
      <c r="L170" s="1618"/>
      <c r="M170" s="1618"/>
      <c r="N170" s="1710"/>
      <c r="O170" s="1649"/>
      <c r="P170" s="15974"/>
      <c r="Q170" s="15974"/>
      <c r="R170" s="16046"/>
      <c r="S170" s="15973"/>
      <c r="T170" s="234"/>
      <c r="U170" s="235"/>
      <c r="V170" s="235" t="s">
        <v>551</v>
      </c>
      <c r="W170" s="236"/>
      <c r="Y170" s="1142"/>
      <c r="Z170" s="1142"/>
      <c r="AA170" s="1142"/>
      <c r="AB170" s="1142"/>
      <c r="AC170" s="1142"/>
      <c r="AD170" s="1142"/>
      <c r="AE170" s="1142"/>
      <c r="AF170" s="1142"/>
      <c r="AG170" s="1142"/>
      <c r="AH170" s="1142"/>
      <c r="AI170" s="1142"/>
      <c r="AJ170" s="1142"/>
      <c r="AK170" s="1142"/>
    </row>
    <row r="171" spans="1:43" ht="17.25" customHeight="1">
      <c r="G171" s="1699"/>
      <c r="H171" s="1699"/>
      <c r="I171" s="1699"/>
      <c r="M171" s="1695"/>
    </row>
    <row r="172" spans="1:43" s="15927" customFormat="1" ht="17.25" customHeight="1">
      <c r="A172" s="1700"/>
      <c r="C172" s="1702"/>
      <c r="D172" s="1690"/>
      <c r="E172" s="1707"/>
      <c r="F172" s="1646"/>
      <c r="G172" s="1708"/>
      <c r="H172" s="1618"/>
      <c r="I172" s="1618"/>
      <c r="J172" s="1619"/>
      <c r="K172" s="1708"/>
      <c r="L172" s="1618"/>
      <c r="M172" s="1618"/>
      <c r="N172" s="1708"/>
      <c r="O172" s="1708"/>
      <c r="P172" s="1618"/>
      <c r="Q172" s="1618"/>
      <c r="R172" s="1620"/>
      <c r="S172" s="1708"/>
      <c r="T172" s="1673"/>
      <c r="U172" s="1673" t="s">
        <v>147</v>
      </c>
      <c r="V172" s="1703" t="s">
        <v>24</v>
      </c>
      <c r="W172" s="1663"/>
      <c r="Y172" s="1149"/>
      <c r="Z172" s="1149"/>
      <c r="AA172" s="1149"/>
      <c r="AB172" s="1149"/>
      <c r="AC172" s="1149"/>
      <c r="AD172" s="1149"/>
      <c r="AE172" s="1149"/>
      <c r="AF172" s="1149"/>
      <c r="AG172" s="1149"/>
      <c r="AH172" s="1149"/>
      <c r="AI172" s="1149"/>
      <c r="AJ172" s="1149"/>
      <c r="AK172" s="1149"/>
      <c r="AL172" s="1704"/>
      <c r="AM172" s="1704"/>
      <c r="AN172" s="1149"/>
      <c r="AO172" s="1149"/>
      <c r="AP172" s="1149"/>
      <c r="AQ172" s="1149"/>
    </row>
    <row r="174" spans="1:43" s="15923" customFormat="1" ht="17.25" customHeight="1">
      <c r="A174" s="1677" t="s">
        <v>1989</v>
      </c>
    </row>
    <row r="175" spans="1:43" ht="17.25" customHeight="1">
      <c r="G175" s="1699"/>
      <c r="H175" s="1699"/>
      <c r="I175" s="1699"/>
      <c r="M175" s="1695"/>
    </row>
    <row r="176" spans="1:43" s="15927" customFormat="1" ht="17.25" customHeight="1">
      <c r="A176" s="1700"/>
      <c r="C176" s="1702"/>
      <c r="D176" s="16047"/>
      <c r="E176" s="16008"/>
      <c r="F176" s="16010"/>
      <c r="G176" s="16040"/>
      <c r="H176" s="16047"/>
      <c r="I176" s="16047">
        <v>1</v>
      </c>
      <c r="J176" s="16043"/>
      <c r="K176" s="16044" t="s">
        <v>66</v>
      </c>
      <c r="L176" s="15974"/>
      <c r="M176" s="15974" t="s">
        <v>147</v>
      </c>
      <c r="N176" s="16051" t="str">
        <f>IF(Z176="","",INDEX(TERRITORY_MR_LIST,MATCH(Z176,TERRITORY_LIST_ID,0)))</f>
        <v/>
      </c>
      <c r="O176" s="16044" t="s">
        <v>66</v>
      </c>
      <c r="P176" s="15974"/>
      <c r="Q176" s="15974" t="s">
        <v>147</v>
      </c>
      <c r="R176" s="16046" t="s">
        <v>24</v>
      </c>
      <c r="S176" s="16050" t="s">
        <v>56</v>
      </c>
      <c r="T176" s="1664"/>
      <c r="U176" s="1664" t="s">
        <v>147</v>
      </c>
      <c r="V176" s="1310"/>
      <c r="W176" s="16043"/>
      <c r="Y176" s="1149"/>
      <c r="Z176" s="1149"/>
      <c r="AA176" s="1149"/>
      <c r="AB176" s="1149"/>
      <c r="AC176" s="1149"/>
      <c r="AD176" s="1149"/>
      <c r="AE176" s="1149"/>
      <c r="AF176" s="1149"/>
      <c r="AG176" s="1149"/>
      <c r="AH176" s="1149"/>
      <c r="AI176" s="1149"/>
      <c r="AJ176" s="1149"/>
      <c r="AK176" s="1149"/>
      <c r="AL176" s="1704"/>
      <c r="AM176" s="1704"/>
      <c r="AN176" s="1149"/>
      <c r="AO176" s="1149"/>
      <c r="AP176" s="1149"/>
      <c r="AQ176" s="1149"/>
    </row>
    <row r="177" spans="1:43" s="15927" customFormat="1" ht="17.25" customHeight="1">
      <c r="A177" s="1700"/>
      <c r="C177" s="1705"/>
      <c r="D177" s="16047"/>
      <c r="E177" s="16008"/>
      <c r="F177" s="16011"/>
      <c r="G177" s="16040"/>
      <c r="H177" s="16047"/>
      <c r="I177" s="16047"/>
      <c r="J177" s="16043"/>
      <c r="K177" s="16045"/>
      <c r="L177" s="15974"/>
      <c r="M177" s="15974"/>
      <c r="N177" s="16051"/>
      <c r="O177" s="16045"/>
      <c r="P177" s="15974"/>
      <c r="Q177" s="15974"/>
      <c r="R177" s="16046"/>
      <c r="S177" s="16050"/>
      <c r="T177" s="1311"/>
      <c r="U177" s="1312"/>
      <c r="V177" s="1312"/>
      <c r="W177" s="16043"/>
      <c r="Y177" s="1142"/>
      <c r="Z177" s="1142"/>
      <c r="AA177" s="1142"/>
      <c r="AB177" s="1142"/>
      <c r="AC177" s="1142"/>
      <c r="AD177" s="1142"/>
      <c r="AE177" s="1142"/>
      <c r="AF177" s="1142"/>
      <c r="AG177" s="1142"/>
      <c r="AH177" s="1142"/>
      <c r="AI177" s="1142"/>
      <c r="AJ177" s="1142"/>
      <c r="AK177" s="1142"/>
    </row>
    <row r="178" spans="1:43" s="15927" customFormat="1" ht="17.25" customHeight="1">
      <c r="A178" s="1700"/>
      <c r="C178" s="1705"/>
      <c r="D178" s="16001"/>
      <c r="E178" s="16009"/>
      <c r="F178" s="16011"/>
      <c r="G178" s="16042"/>
      <c r="H178" s="16001"/>
      <c r="I178" s="16001"/>
      <c r="J178" s="16049"/>
      <c r="K178" s="16045"/>
      <c r="L178" s="16001"/>
      <c r="M178" s="16001"/>
      <c r="N178" s="16053"/>
      <c r="O178" s="15978"/>
      <c r="P178" s="234"/>
      <c r="Q178" s="235"/>
      <c r="R178" s="235" t="s">
        <v>290</v>
      </c>
      <c r="S178" s="1706"/>
      <c r="T178" s="1706"/>
      <c r="U178" s="1706"/>
      <c r="V178" s="1706"/>
      <c r="W178" s="1309"/>
      <c r="Y178" s="1142"/>
      <c r="Z178" s="1142"/>
      <c r="AA178" s="1142"/>
      <c r="AB178" s="1142"/>
      <c r="AC178" s="1142"/>
      <c r="AD178" s="1142"/>
      <c r="AE178" s="1142"/>
      <c r="AF178" s="1142"/>
      <c r="AG178" s="1142"/>
      <c r="AH178" s="1142"/>
      <c r="AI178" s="1142"/>
      <c r="AJ178" s="1142"/>
      <c r="AK178" s="1142"/>
    </row>
    <row r="179" spans="1:43" s="15927" customFormat="1" ht="17.25" customHeight="1">
      <c r="A179" s="1700"/>
      <c r="C179" s="1705"/>
      <c r="D179" s="16001"/>
      <c r="E179" s="16009"/>
      <c r="F179" s="16011"/>
      <c r="G179" s="16042"/>
      <c r="H179" s="16001"/>
      <c r="I179" s="16001"/>
      <c r="J179" s="16049"/>
      <c r="K179" s="15978"/>
      <c r="L179" s="234"/>
      <c r="M179" s="235"/>
      <c r="N179" s="235" t="s">
        <v>326</v>
      </c>
      <c r="O179" s="235"/>
      <c r="P179" s="235"/>
      <c r="Q179" s="235"/>
      <c r="R179" s="235"/>
      <c r="S179" s="1706"/>
      <c r="T179" s="1706"/>
      <c r="U179" s="1706"/>
      <c r="V179" s="1706"/>
      <c r="W179" s="236"/>
      <c r="Y179" s="1142"/>
      <c r="Z179" s="1142"/>
      <c r="AA179" s="1142"/>
      <c r="AB179" s="1142"/>
      <c r="AC179" s="1142"/>
      <c r="AD179" s="1142"/>
      <c r="AE179" s="1142"/>
      <c r="AF179" s="1142"/>
      <c r="AG179" s="1142"/>
      <c r="AH179" s="1142"/>
      <c r="AI179" s="1142"/>
      <c r="AJ179" s="1142"/>
      <c r="AK179" s="1142"/>
    </row>
    <row r="180" spans="1:43" s="15927" customFormat="1" ht="17.25" customHeight="1">
      <c r="A180" s="1700"/>
      <c r="C180" s="1705"/>
      <c r="D180" s="16001"/>
      <c r="E180" s="16009"/>
      <c r="F180" s="16012"/>
      <c r="G180" s="16042"/>
      <c r="H180" s="234"/>
      <c r="I180" s="235"/>
      <c r="J180" s="235" t="s">
        <v>390</v>
      </c>
      <c r="K180" s="235"/>
      <c r="L180" s="235"/>
      <c r="M180" s="235"/>
      <c r="N180" s="235"/>
      <c r="O180" s="235"/>
      <c r="P180" s="235"/>
      <c r="Q180" s="235"/>
      <c r="R180" s="235"/>
      <c r="S180" s="1706"/>
      <c r="T180" s="1706"/>
      <c r="U180" s="1706"/>
      <c r="V180" s="1706"/>
      <c r="W180" s="236"/>
      <c r="Y180" s="1142"/>
      <c r="Z180" s="1142"/>
      <c r="AA180" s="1142"/>
      <c r="AB180" s="1142"/>
      <c r="AC180" s="1142"/>
      <c r="AD180" s="1142"/>
      <c r="AE180" s="1142"/>
      <c r="AF180" s="1142"/>
      <c r="AG180" s="1142"/>
      <c r="AH180" s="1142"/>
      <c r="AI180" s="1142"/>
      <c r="AJ180" s="1142"/>
      <c r="AK180" s="1142"/>
    </row>
    <row r="181" spans="1:43" ht="17.25" customHeight="1">
      <c r="A181" s="1711"/>
    </row>
    <row r="182" spans="1:43" s="15927" customFormat="1" ht="17.25" customHeight="1">
      <c r="A182" s="1700"/>
      <c r="C182" s="1702"/>
      <c r="D182" s="1690"/>
      <c r="E182" s="1707"/>
      <c r="F182" s="1646"/>
      <c r="G182" s="1708"/>
      <c r="H182" s="16047"/>
      <c r="I182" s="16047">
        <v>1</v>
      </c>
      <c r="J182" s="16043"/>
      <c r="K182" s="16044" t="s">
        <v>66</v>
      </c>
      <c r="L182" s="15974"/>
      <c r="M182" s="15974" t="s">
        <v>147</v>
      </c>
      <c r="N182" s="16051" t="str">
        <f>IF(Z182="","",INDEX(TERRITORY_MR_LIST,MATCH(Z182,TERRITORY_LIST_ID,0)))</f>
        <v/>
      </c>
      <c r="O182" s="16044" t="s">
        <v>66</v>
      </c>
      <c r="P182" s="15974"/>
      <c r="Q182" s="15974" t="s">
        <v>147</v>
      </c>
      <c r="R182" s="16046" t="s">
        <v>24</v>
      </c>
      <c r="S182" s="16050" t="s">
        <v>56</v>
      </c>
      <c r="T182" s="1664"/>
      <c r="U182" s="1664" t="s">
        <v>147</v>
      </c>
      <c r="V182" s="1310"/>
      <c r="W182" s="16043"/>
      <c r="Y182" s="1149"/>
      <c r="Z182" s="1149"/>
      <c r="AA182" s="1149"/>
      <c r="AB182" s="1149"/>
      <c r="AC182" s="1149"/>
      <c r="AD182" s="1149"/>
      <c r="AE182" s="1149"/>
      <c r="AF182" s="1149"/>
      <c r="AG182" s="1149"/>
      <c r="AH182" s="1149"/>
      <c r="AI182" s="1149"/>
      <c r="AJ182" s="1149"/>
      <c r="AK182" s="1149"/>
      <c r="AL182" s="1704"/>
      <c r="AM182" s="1704"/>
      <c r="AN182" s="1149"/>
      <c r="AO182" s="1149"/>
      <c r="AP182" s="1149"/>
      <c r="AQ182" s="1149"/>
    </row>
    <row r="183" spans="1:43" s="15927" customFormat="1" ht="17.25" customHeight="1">
      <c r="A183" s="1700"/>
      <c r="C183" s="1705"/>
      <c r="D183" s="1690"/>
      <c r="E183" s="1707"/>
      <c r="F183" s="1646"/>
      <c r="G183" s="1708"/>
      <c r="H183" s="16047"/>
      <c r="I183" s="16047"/>
      <c r="J183" s="16043"/>
      <c r="K183" s="16045"/>
      <c r="L183" s="15974"/>
      <c r="M183" s="15974"/>
      <c r="N183" s="16051"/>
      <c r="O183" s="16045"/>
      <c r="P183" s="15974"/>
      <c r="Q183" s="15974"/>
      <c r="R183" s="16046"/>
      <c r="S183" s="16050"/>
      <c r="T183" s="1311"/>
      <c r="U183" s="1312"/>
      <c r="V183" s="1312"/>
      <c r="W183" s="16043"/>
      <c r="Y183" s="1142"/>
      <c r="Z183" s="1142"/>
      <c r="AA183" s="1142"/>
      <c r="AB183" s="1142"/>
      <c r="AC183" s="1142"/>
      <c r="AD183" s="1142"/>
      <c r="AE183" s="1142"/>
      <c r="AF183" s="1142"/>
      <c r="AG183" s="1142"/>
      <c r="AH183" s="1142"/>
      <c r="AI183" s="1142"/>
      <c r="AJ183" s="1142"/>
      <c r="AK183" s="1142"/>
    </row>
    <row r="184" spans="1:43" s="15927" customFormat="1" ht="17.25" customHeight="1">
      <c r="A184" s="1700"/>
      <c r="C184" s="1705"/>
      <c r="D184" s="1690"/>
      <c r="E184" s="1707"/>
      <c r="F184" s="1646"/>
      <c r="G184" s="1708"/>
      <c r="H184" s="16001"/>
      <c r="I184" s="16001"/>
      <c r="J184" s="16049"/>
      <c r="K184" s="16045"/>
      <c r="L184" s="16001"/>
      <c r="M184" s="16001"/>
      <c r="N184" s="16053"/>
      <c r="O184" s="15978"/>
      <c r="P184" s="234"/>
      <c r="Q184" s="235"/>
      <c r="R184" s="235" t="s">
        <v>290</v>
      </c>
      <c r="S184" s="1706"/>
      <c r="T184" s="1706"/>
      <c r="U184" s="1706"/>
      <c r="V184" s="1706"/>
      <c r="W184" s="1309"/>
      <c r="Y184" s="1142"/>
      <c r="Z184" s="1142"/>
      <c r="AA184" s="1142"/>
      <c r="AB184" s="1142"/>
      <c r="AC184" s="1142"/>
      <c r="AD184" s="1142"/>
      <c r="AE184" s="1142"/>
      <c r="AF184" s="1142"/>
      <c r="AG184" s="1142"/>
      <c r="AH184" s="1142"/>
      <c r="AI184" s="1142"/>
      <c r="AJ184" s="1142"/>
      <c r="AK184" s="1142"/>
    </row>
    <row r="185" spans="1:43" s="15927" customFormat="1" ht="17.25" customHeight="1">
      <c r="A185" s="1700"/>
      <c r="C185" s="1705"/>
      <c r="D185" s="1690"/>
      <c r="E185" s="1707"/>
      <c r="F185" s="1646"/>
      <c r="G185" s="1708"/>
      <c r="H185" s="16001"/>
      <c r="I185" s="16001"/>
      <c r="J185" s="16049"/>
      <c r="K185" s="15978"/>
      <c r="L185" s="234"/>
      <c r="M185" s="235"/>
      <c r="N185" s="235" t="s">
        <v>326</v>
      </c>
      <c r="O185" s="235"/>
      <c r="P185" s="235"/>
      <c r="Q185" s="235"/>
      <c r="R185" s="235"/>
      <c r="S185" s="1706"/>
      <c r="T185" s="1706"/>
      <c r="U185" s="1706"/>
      <c r="V185" s="1706"/>
      <c r="W185" s="236"/>
      <c r="Y185" s="1142"/>
      <c r="Z185" s="1142"/>
      <c r="AA185" s="1142"/>
      <c r="AB185" s="1142"/>
      <c r="AC185" s="1142"/>
      <c r="AD185" s="1142"/>
      <c r="AE185" s="1142"/>
      <c r="AF185" s="1142"/>
      <c r="AG185" s="1142"/>
      <c r="AH185" s="1142"/>
      <c r="AI185" s="1142"/>
      <c r="AJ185" s="1142"/>
      <c r="AK185" s="1142"/>
    </row>
    <row r="186" spans="1:43" ht="17.25" customHeight="1">
      <c r="A186" s="1711"/>
    </row>
    <row r="187" spans="1:43" s="15927" customFormat="1" ht="17.25" customHeight="1">
      <c r="A187" s="1700"/>
      <c r="C187" s="1702"/>
      <c r="D187" s="1690"/>
      <c r="E187" s="1707"/>
      <c r="F187" s="1646"/>
      <c r="G187" s="1708"/>
      <c r="H187" s="1690"/>
      <c r="I187" s="1690"/>
      <c r="J187" s="1712"/>
      <c r="K187" s="1708"/>
      <c r="L187" s="15974"/>
      <c r="M187" s="15974" t="s">
        <v>147</v>
      </c>
      <c r="N187" s="16051" t="str">
        <f>IF(Z187="","",INDEX(TERRITORY_MR_LIST,MATCH(Z187,TERRITORY_LIST_ID,0)))</f>
        <v/>
      </c>
      <c r="O187" s="16044" t="s">
        <v>66</v>
      </c>
      <c r="P187" s="15974"/>
      <c r="Q187" s="15974" t="s">
        <v>147</v>
      </c>
      <c r="R187" s="16046" t="s">
        <v>24</v>
      </c>
      <c r="S187" s="16050" t="s">
        <v>56</v>
      </c>
      <c r="T187" s="1664"/>
      <c r="U187" s="1664" t="s">
        <v>147</v>
      </c>
      <c r="V187" s="1310"/>
      <c r="W187" s="16043"/>
      <c r="Y187" s="1149"/>
      <c r="Z187" s="1149"/>
      <c r="AA187" s="1149"/>
      <c r="AB187" s="1149"/>
      <c r="AC187" s="1149"/>
      <c r="AD187" s="1149"/>
      <c r="AE187" s="1149"/>
      <c r="AF187" s="1149"/>
      <c r="AG187" s="1149"/>
      <c r="AH187" s="1149"/>
      <c r="AI187" s="1149"/>
      <c r="AJ187" s="1149"/>
      <c r="AK187" s="1149"/>
      <c r="AL187" s="1704"/>
      <c r="AM187" s="1704"/>
      <c r="AN187" s="1149"/>
      <c r="AO187" s="1149"/>
      <c r="AP187" s="1149"/>
      <c r="AQ187" s="1149"/>
    </row>
    <row r="188" spans="1:43" s="15927" customFormat="1" ht="17.25" customHeight="1">
      <c r="A188" s="1700"/>
      <c r="C188" s="1705"/>
      <c r="D188" s="1690"/>
      <c r="E188" s="1707"/>
      <c r="F188" s="1646"/>
      <c r="G188" s="1708"/>
      <c r="H188" s="1690"/>
      <c r="I188" s="1690"/>
      <c r="J188" s="1712"/>
      <c r="K188" s="1708"/>
      <c r="L188" s="15974"/>
      <c r="M188" s="15974"/>
      <c r="N188" s="16051"/>
      <c r="O188" s="16045"/>
      <c r="P188" s="15974"/>
      <c r="Q188" s="15974"/>
      <c r="R188" s="16046"/>
      <c r="S188" s="16050"/>
      <c r="T188" s="1311"/>
      <c r="U188" s="1312"/>
      <c r="V188" s="1312"/>
      <c r="W188" s="16043"/>
      <c r="Y188" s="1142"/>
      <c r="Z188" s="1142"/>
      <c r="AA188" s="1142"/>
      <c r="AB188" s="1142"/>
      <c r="AC188" s="1142"/>
      <c r="AD188" s="1142"/>
      <c r="AE188" s="1142"/>
      <c r="AF188" s="1142"/>
      <c r="AG188" s="1142"/>
      <c r="AH188" s="1142"/>
      <c r="AI188" s="1142"/>
      <c r="AJ188" s="1142"/>
      <c r="AK188" s="1142"/>
    </row>
    <row r="189" spans="1:43" s="15927" customFormat="1" ht="17.25" customHeight="1">
      <c r="A189" s="1700"/>
      <c r="C189" s="1705"/>
      <c r="D189" s="1690"/>
      <c r="E189" s="1707"/>
      <c r="F189" s="1646"/>
      <c r="G189" s="1708"/>
      <c r="H189" s="1690"/>
      <c r="I189" s="1690"/>
      <c r="J189" s="1712"/>
      <c r="K189" s="1708"/>
      <c r="L189" s="16001"/>
      <c r="M189" s="16001"/>
      <c r="N189" s="16053"/>
      <c r="O189" s="15978"/>
      <c r="P189" s="234"/>
      <c r="Q189" s="235"/>
      <c r="R189" s="235" t="s">
        <v>290</v>
      </c>
      <c r="S189" s="1706"/>
      <c r="T189" s="1706"/>
      <c r="U189" s="1706"/>
      <c r="V189" s="1706"/>
      <c r="W189" s="1309"/>
      <c r="Y189" s="1142"/>
      <c r="Z189" s="1142"/>
      <c r="AA189" s="1142"/>
      <c r="AB189" s="1142"/>
      <c r="AC189" s="1142"/>
      <c r="AD189" s="1142"/>
      <c r="AE189" s="1142"/>
      <c r="AF189" s="1142"/>
      <c r="AG189" s="1142"/>
      <c r="AH189" s="1142"/>
      <c r="AI189" s="1142"/>
      <c r="AJ189" s="1142"/>
      <c r="AK189" s="1142"/>
    </row>
    <row r="190" spans="1:43" ht="17.25" customHeight="1">
      <c r="A190" s="1711"/>
    </row>
    <row r="191" spans="1:43" s="15927" customFormat="1" ht="17.25" customHeight="1">
      <c r="A191" s="1700"/>
      <c r="C191" s="1702"/>
      <c r="D191" s="1690"/>
      <c r="E191" s="1707"/>
      <c r="F191" s="1646"/>
      <c r="G191" s="1708"/>
      <c r="H191" s="1690"/>
      <c r="I191" s="1690"/>
      <c r="J191" s="1712"/>
      <c r="K191" s="1708"/>
      <c r="L191" s="1690"/>
      <c r="M191" s="1690"/>
      <c r="N191" s="1710"/>
      <c r="O191" s="1649"/>
      <c r="P191" s="15974"/>
      <c r="Q191" s="15974" t="s">
        <v>147</v>
      </c>
      <c r="R191" s="16046" t="s">
        <v>24</v>
      </c>
      <c r="S191" s="16050" t="s">
        <v>56</v>
      </c>
      <c r="T191" s="1664"/>
      <c r="U191" s="1664" t="s">
        <v>147</v>
      </c>
      <c r="V191" s="1310"/>
      <c r="W191" s="16043"/>
      <c r="Y191" s="1149"/>
      <c r="Z191" s="1149"/>
      <c r="AA191" s="1149"/>
      <c r="AB191" s="1149"/>
      <c r="AC191" s="1149"/>
      <c r="AD191" s="1149"/>
      <c r="AE191" s="1149"/>
      <c r="AF191" s="1149"/>
      <c r="AG191" s="1149"/>
      <c r="AH191" s="1149"/>
      <c r="AI191" s="1149"/>
      <c r="AJ191" s="1149"/>
      <c r="AK191" s="1149"/>
      <c r="AL191" s="1704"/>
      <c r="AM191" s="1704"/>
      <c r="AN191" s="1149"/>
      <c r="AO191" s="1149"/>
      <c r="AP191" s="1149"/>
      <c r="AQ191" s="1149"/>
    </row>
    <row r="192" spans="1:43" s="15927" customFormat="1" ht="17.25" customHeight="1">
      <c r="A192" s="1700"/>
      <c r="C192" s="1705"/>
      <c r="D192" s="1690"/>
      <c r="E192" s="1707"/>
      <c r="F192" s="1646"/>
      <c r="G192" s="1708"/>
      <c r="H192" s="1690"/>
      <c r="I192" s="1690"/>
      <c r="J192" s="1712"/>
      <c r="K192" s="1708"/>
      <c r="L192" s="1690"/>
      <c r="M192" s="1690"/>
      <c r="N192" s="1710"/>
      <c r="O192" s="1649"/>
      <c r="P192" s="15974"/>
      <c r="Q192" s="15974"/>
      <c r="R192" s="16046"/>
      <c r="S192" s="16050"/>
      <c r="T192" s="1311"/>
      <c r="U192" s="1312"/>
      <c r="V192" s="1312"/>
      <c r="W192" s="16043"/>
      <c r="Y192" s="1142"/>
      <c r="Z192" s="1142"/>
      <c r="AA192" s="1142"/>
      <c r="AB192" s="1142"/>
      <c r="AC192" s="1142"/>
      <c r="AD192" s="1142"/>
      <c r="AE192" s="1142"/>
      <c r="AF192" s="1142"/>
      <c r="AG192" s="1142"/>
      <c r="AH192" s="1142"/>
      <c r="AI192" s="1142"/>
      <c r="AJ192" s="1142"/>
      <c r="AK192" s="1142"/>
    </row>
    <row r="193" spans="1:63" ht="17.25" customHeight="1">
      <c r="A193" s="1711"/>
    </row>
    <row r="194" spans="1:63" ht="16.5" customHeight="1">
      <c r="A194" s="1700"/>
      <c r="B194" s="1701"/>
      <c r="C194" s="1705"/>
      <c r="D194" s="16047"/>
      <c r="E194" s="16059"/>
      <c r="F194" s="16059"/>
      <c r="G194" s="15992"/>
      <c r="H194" s="16013"/>
      <c r="I194" s="16015"/>
      <c r="J194" s="16017"/>
      <c r="K194" s="16002"/>
      <c r="L194" s="16002"/>
      <c r="M194" s="16002"/>
      <c r="N194" s="16004"/>
      <c r="O194" s="16002"/>
      <c r="P194" s="16002"/>
      <c r="Q194" s="16002"/>
      <c r="R194" s="16007"/>
      <c r="S194" s="16002"/>
      <c r="T194" s="1645"/>
      <c r="U194" s="1645"/>
      <c r="V194" s="1713"/>
      <c r="W194" s="1176"/>
    </row>
    <row r="195" spans="1:63" ht="16.5" customHeight="1">
      <c r="A195" s="1700"/>
      <c r="B195" s="1701"/>
      <c r="C195" s="1705"/>
      <c r="D195" s="16047"/>
      <c r="E195" s="16059"/>
      <c r="F195" s="16059"/>
      <c r="G195" s="15992"/>
      <c r="H195" s="16014"/>
      <c r="I195" s="16016"/>
      <c r="J195" s="16018"/>
      <c r="K195" s="16003"/>
      <c r="L195" s="16003"/>
      <c r="M195" s="16003"/>
      <c r="N195" s="16005"/>
      <c r="O195" s="16003"/>
      <c r="P195" s="16003"/>
      <c r="Q195" s="16003"/>
      <c r="R195" s="16006"/>
      <c r="S195" s="16003"/>
      <c r="T195" s="1177"/>
      <c r="U195" s="1177"/>
      <c r="V195" s="1177"/>
      <c r="W195" s="1178"/>
    </row>
    <row r="196" spans="1:63" ht="17.25" customHeight="1">
      <c r="A196" s="1700"/>
      <c r="B196" s="1701"/>
      <c r="C196" s="1705"/>
      <c r="D196" s="16047"/>
      <c r="E196" s="16059"/>
      <c r="F196" s="16059"/>
      <c r="G196" s="15992"/>
      <c r="H196" s="16014"/>
      <c r="I196" s="16016"/>
      <c r="J196" s="16019"/>
      <c r="K196" s="16003"/>
      <c r="L196" s="16003"/>
      <c r="M196" s="16003"/>
      <c r="N196" s="16006"/>
      <c r="O196" s="16003"/>
      <c r="P196" s="1648"/>
      <c r="Q196" s="1177"/>
      <c r="R196" s="1177"/>
      <c r="S196" s="1714"/>
      <c r="T196" s="1714"/>
      <c r="U196" s="1714"/>
      <c r="V196" s="1714"/>
      <c r="W196" s="1178"/>
    </row>
    <row r="197" spans="1:63" ht="17.25" customHeight="1">
      <c r="A197" s="1700"/>
      <c r="B197" s="1701"/>
      <c r="C197" s="1705"/>
      <c r="D197" s="16047"/>
      <c r="E197" s="16059"/>
      <c r="F197" s="16059"/>
      <c r="G197" s="15992"/>
      <c r="H197" s="16014"/>
      <c r="I197" s="16016"/>
      <c r="J197" s="16019"/>
      <c r="K197" s="16003"/>
      <c r="L197" s="1177"/>
      <c r="M197" s="1177"/>
      <c r="N197" s="1177"/>
      <c r="O197" s="1177"/>
      <c r="P197" s="1177"/>
      <c r="Q197" s="1177"/>
      <c r="R197" s="1177"/>
      <c r="S197" s="1714"/>
      <c r="T197" s="1714"/>
      <c r="U197" s="1714"/>
      <c r="V197" s="1714"/>
      <c r="W197" s="1178"/>
    </row>
    <row r="198" spans="1:63" ht="17.25" customHeight="1">
      <c r="A198" s="1700"/>
      <c r="B198" s="1701"/>
      <c r="C198" s="1705"/>
      <c r="D198" s="16047"/>
      <c r="E198" s="16059"/>
      <c r="F198" s="16059"/>
      <c r="G198" s="15992"/>
      <c r="H198" s="1179"/>
      <c r="I198" s="1180"/>
      <c r="J198" s="1180"/>
      <c r="K198" s="1180"/>
      <c r="L198" s="1180"/>
      <c r="M198" s="1180"/>
      <c r="N198" s="1180"/>
      <c r="O198" s="1180"/>
      <c r="P198" s="1180"/>
      <c r="Q198" s="1180"/>
      <c r="R198" s="1180"/>
      <c r="S198" s="1715"/>
      <c r="T198" s="1715"/>
      <c r="U198" s="1715"/>
      <c r="V198" s="1715"/>
      <c r="W198" s="1182"/>
    </row>
    <row r="200" spans="1:63" s="15923" customFormat="1" ht="17.25" customHeight="1">
      <c r="A200" s="1677" t="s">
        <v>1990</v>
      </c>
    </row>
    <row r="201" spans="1:63" ht="17.25" customHeight="1">
      <c r="G201" s="1699"/>
      <c r="H201" s="1699"/>
      <c r="I201" s="1699"/>
      <c r="M201" s="1695"/>
    </row>
    <row r="202" spans="1:63" s="14359" customFormat="1" ht="15" customHeight="1">
      <c r="D202" s="16328"/>
      <c r="E202" s="16074"/>
      <c r="F202" s="16074"/>
      <c r="G202" s="16044"/>
      <c r="H202" s="1432"/>
      <c r="I202" s="16332">
        <v>1</v>
      </c>
      <c r="J202" s="16043"/>
      <c r="K202" s="1447"/>
      <c r="L202" s="16044" t="s">
        <v>66</v>
      </c>
      <c r="M202" s="16044" t="s">
        <v>66</v>
      </c>
      <c r="N202" s="1432"/>
      <c r="O202" s="15974" t="s">
        <v>147</v>
      </c>
      <c r="P202" s="16322"/>
      <c r="Q202" s="1448"/>
      <c r="R202" s="16044" t="s">
        <v>66</v>
      </c>
      <c r="S202" s="16044" t="s">
        <v>66</v>
      </c>
      <c r="T202" s="1716"/>
      <c r="U202" s="15974" t="s">
        <v>147</v>
      </c>
      <c r="V202" s="16329" t="str">
        <f>IF(AK202="","",INDEX(TERRITORY_MR_LIST,MATCH(AK202,TERRITORY_LIST_ID,0)))</f>
        <v/>
      </c>
      <c r="W202" s="1449"/>
      <c r="X202" s="16044" t="s">
        <v>66</v>
      </c>
      <c r="Y202" s="16044" t="s">
        <v>56</v>
      </c>
      <c r="Z202" s="1432"/>
      <c r="AA202" s="15974" t="s">
        <v>147</v>
      </c>
      <c r="AB202" s="16331"/>
      <c r="AC202" s="1450"/>
      <c r="AD202" s="16044" t="s">
        <v>66</v>
      </c>
      <c r="AE202" s="16044" t="s">
        <v>56</v>
      </c>
      <c r="AF202" s="1430"/>
      <c r="AG202" s="1673" t="s">
        <v>147</v>
      </c>
      <c r="AH202" s="1440"/>
      <c r="AI202" s="1663"/>
    </row>
    <row r="203" spans="1:63" s="14359" customFormat="1" ht="15" customHeight="1">
      <c r="D203" s="16328"/>
      <c r="E203" s="16074"/>
      <c r="F203" s="16074"/>
      <c r="G203" s="16045"/>
      <c r="H203" s="1432"/>
      <c r="I203" s="16332"/>
      <c r="J203" s="16043"/>
      <c r="K203" s="1431"/>
      <c r="L203" s="16045"/>
      <c r="M203" s="16045"/>
      <c r="N203" s="1432"/>
      <c r="O203" s="15974"/>
      <c r="P203" s="16322"/>
      <c r="Q203" s="1428"/>
      <c r="R203" s="16045"/>
      <c r="S203" s="16045"/>
      <c r="T203" s="1716"/>
      <c r="U203" s="15974"/>
      <c r="V203" s="16330"/>
      <c r="W203" s="1429"/>
      <c r="X203" s="16045"/>
      <c r="Y203" s="16045"/>
      <c r="Z203" s="1432"/>
      <c r="AA203" s="15974"/>
      <c r="AB203" s="16308"/>
      <c r="AC203" s="1433"/>
      <c r="AD203" s="15978"/>
      <c r="AE203" s="15978"/>
      <c r="AF203" s="1434"/>
      <c r="AG203" s="1435"/>
      <c r="AH203" s="16323" t="s">
        <v>1991</v>
      </c>
      <c r="AI203" s="16324"/>
    </row>
    <row r="204" spans="1:63" s="14359" customFormat="1" ht="15" customHeight="1">
      <c r="D204" s="16328"/>
      <c r="E204" s="16074"/>
      <c r="F204" s="16074"/>
      <c r="G204" s="16045"/>
      <c r="H204" s="1432"/>
      <c r="I204" s="16332"/>
      <c r="J204" s="16043"/>
      <c r="K204" s="1431"/>
      <c r="L204" s="16045"/>
      <c r="M204" s="16045"/>
      <c r="N204" s="1432"/>
      <c r="O204" s="15974"/>
      <c r="P204" s="16322"/>
      <c r="Q204" s="1428"/>
      <c r="R204" s="16045"/>
      <c r="S204" s="16045"/>
      <c r="T204" s="1716"/>
      <c r="U204" s="15974"/>
      <c r="V204" s="16330"/>
      <c r="W204" s="1429"/>
      <c r="X204" s="16045"/>
      <c r="Y204" s="16045"/>
      <c r="Z204" s="1471"/>
      <c r="AA204" s="1437"/>
      <c r="AB204" s="16325" t="s">
        <v>1992</v>
      </c>
      <c r="AC204" s="16325"/>
      <c r="AD204" s="16325"/>
      <c r="AE204" s="16325"/>
      <c r="AF204" s="16325"/>
      <c r="AG204" s="16325"/>
      <c r="AH204" s="16325"/>
      <c r="AI204" s="16326"/>
    </row>
    <row r="205" spans="1:63" s="14359" customFormat="1" ht="15" customHeight="1">
      <c r="D205" s="16328"/>
      <c r="E205" s="16074"/>
      <c r="F205" s="16074"/>
      <c r="G205" s="16045"/>
      <c r="H205" s="1432"/>
      <c r="I205" s="16332"/>
      <c r="J205" s="16043"/>
      <c r="K205" s="1431"/>
      <c r="L205" s="16045"/>
      <c r="M205" s="16045"/>
      <c r="N205" s="1432"/>
      <c r="O205" s="15974"/>
      <c r="P205" s="16327"/>
      <c r="Q205" s="1428"/>
      <c r="R205" s="16045"/>
      <c r="S205" s="16045"/>
      <c r="T205" s="1717"/>
      <c r="U205" s="1472"/>
      <c r="V205" s="16323" t="s">
        <v>141</v>
      </c>
      <c r="W205" s="16323"/>
      <c r="X205" s="16323"/>
      <c r="Y205" s="16323"/>
      <c r="Z205" s="16323"/>
      <c r="AA205" s="16323"/>
      <c r="AB205" s="16323"/>
      <c r="AC205" s="16323"/>
      <c r="AD205" s="16323"/>
      <c r="AE205" s="16323"/>
      <c r="AF205" s="16323"/>
      <c r="AG205" s="16323"/>
      <c r="AH205" s="16323"/>
      <c r="AI205" s="16324"/>
    </row>
    <row r="206" spans="1:63" s="14359" customFormat="1" ht="11.25" customHeight="1">
      <c r="D206" s="16328"/>
      <c r="E206" s="16074"/>
      <c r="F206" s="16074"/>
      <c r="G206" s="16045"/>
      <c r="H206" s="1436"/>
      <c r="I206" s="16332"/>
      <c r="J206" s="16333"/>
      <c r="K206" s="1431"/>
      <c r="L206" s="16045"/>
      <c r="M206" s="16045"/>
      <c r="N206" s="1436"/>
      <c r="O206" s="1437"/>
      <c r="P206" s="16323" t="s">
        <v>1993</v>
      </c>
      <c r="Q206" s="16323"/>
      <c r="R206" s="16323"/>
      <c r="S206" s="16323"/>
      <c r="T206" s="16323"/>
      <c r="U206" s="16323"/>
      <c r="V206" s="16323"/>
      <c r="W206" s="16323"/>
      <c r="X206" s="16323"/>
      <c r="Y206" s="16323"/>
      <c r="Z206" s="16323"/>
      <c r="AA206" s="16323"/>
      <c r="AB206" s="16323"/>
      <c r="AC206" s="16323"/>
      <c r="AD206" s="16323"/>
      <c r="AE206" s="16323"/>
      <c r="AF206" s="16323"/>
      <c r="AG206" s="16323"/>
      <c r="AH206" s="16323"/>
      <c r="AI206" s="16324"/>
    </row>
    <row r="207" spans="1:63" s="14393" customFormat="1" ht="11.25" customHeight="1">
      <c r="D207" s="16328"/>
      <c r="E207" s="16074"/>
      <c r="F207" s="16074"/>
      <c r="G207" s="15978"/>
      <c r="H207" s="1438"/>
      <c r="I207" s="1439"/>
      <c r="J207" s="16323" t="s">
        <v>390</v>
      </c>
      <c r="K207" s="16323"/>
      <c r="L207" s="16323"/>
      <c r="M207" s="16323"/>
      <c r="N207" s="16323"/>
      <c r="O207" s="16323"/>
      <c r="P207" s="16323"/>
      <c r="Q207" s="16323"/>
      <c r="R207" s="16323"/>
      <c r="S207" s="16323"/>
      <c r="T207" s="16323"/>
      <c r="U207" s="16323"/>
      <c r="V207" s="16323"/>
      <c r="W207" s="16323"/>
      <c r="X207" s="16323"/>
      <c r="Y207" s="16323"/>
      <c r="Z207" s="16323"/>
      <c r="AA207" s="16323"/>
      <c r="AB207" s="16323"/>
      <c r="AC207" s="16323"/>
      <c r="AD207" s="16323"/>
      <c r="AE207" s="16323"/>
      <c r="AF207" s="16323"/>
      <c r="AG207" s="16323"/>
      <c r="AH207" s="16323"/>
      <c r="AI207" s="16324"/>
      <c r="BK207" s="1442"/>
    </row>
    <row r="208" spans="1:63" ht="17.25" customHeight="1">
      <c r="G208" s="1699"/>
      <c r="I208" s="1699"/>
      <c r="J208" s="1699"/>
      <c r="N208" s="1695"/>
    </row>
    <row r="209" spans="1:63" s="14359" customFormat="1" ht="15" customHeight="1">
      <c r="D209" s="16328"/>
      <c r="E209" s="16074"/>
      <c r="F209" s="16074"/>
      <c r="G209" s="16059"/>
      <c r="H209" s="1467"/>
      <c r="I209" s="16061"/>
      <c r="J209" s="16017"/>
      <c r="K209" s="1647"/>
      <c r="L209" s="16002"/>
      <c r="M209" s="16002"/>
      <c r="N209" s="1452"/>
      <c r="O209" s="16002"/>
      <c r="P209" s="16017"/>
      <c r="Q209" s="1651"/>
      <c r="R209" s="16002"/>
      <c r="S209" s="16002"/>
      <c r="T209" s="1718"/>
      <c r="U209" s="16002"/>
      <c r="V209" s="16017"/>
      <c r="W209" s="1455"/>
      <c r="X209" s="16002"/>
      <c r="Y209" s="16002"/>
      <c r="Z209" s="1452"/>
      <c r="AA209" s="16002"/>
      <c r="AB209" s="16017"/>
      <c r="AC209" s="1456"/>
      <c r="AD209" s="16002"/>
      <c r="AE209" s="16002"/>
      <c r="AF209" s="1645"/>
      <c r="AG209" s="1645"/>
      <c r="AH209" s="1457"/>
      <c r="AI209" s="1176"/>
    </row>
    <row r="210" spans="1:63" s="14359" customFormat="1" ht="15" customHeight="1">
      <c r="D210" s="16328"/>
      <c r="E210" s="16074"/>
      <c r="F210" s="16074"/>
      <c r="G210" s="16059"/>
      <c r="H210" s="1468"/>
      <c r="I210" s="16062"/>
      <c r="J210" s="16018"/>
      <c r="K210" s="1476"/>
      <c r="L210" s="16003"/>
      <c r="M210" s="16003"/>
      <c r="N210" s="1458"/>
      <c r="O210" s="16003"/>
      <c r="P210" s="16018"/>
      <c r="Q210" s="1652"/>
      <c r="R210" s="16003"/>
      <c r="S210" s="16003"/>
      <c r="T210" s="1719"/>
      <c r="U210" s="16003"/>
      <c r="V210" s="16018"/>
      <c r="W210" s="1461"/>
      <c r="X210" s="16003"/>
      <c r="Y210" s="16003"/>
      <c r="Z210" s="1458"/>
      <c r="AA210" s="16003"/>
      <c r="AB210" s="16018"/>
      <c r="AC210" s="1462"/>
      <c r="AD210" s="16003"/>
      <c r="AE210" s="16003"/>
      <c r="AF210" s="1650"/>
      <c r="AG210" s="1650"/>
      <c r="AH210" s="16057"/>
      <c r="AI210" s="16058"/>
    </row>
    <row r="211" spans="1:63" s="14359" customFormat="1" ht="15" customHeight="1">
      <c r="D211" s="16328"/>
      <c r="E211" s="16074"/>
      <c r="F211" s="16074"/>
      <c r="G211" s="16059"/>
      <c r="H211" s="1468"/>
      <c r="I211" s="16062"/>
      <c r="J211" s="16018"/>
      <c r="K211" s="1476"/>
      <c r="L211" s="16003"/>
      <c r="M211" s="16003"/>
      <c r="N211" s="1458"/>
      <c r="O211" s="16003"/>
      <c r="P211" s="16018"/>
      <c r="Q211" s="1652"/>
      <c r="R211" s="16003"/>
      <c r="S211" s="16003"/>
      <c r="T211" s="1719"/>
      <c r="U211" s="16003"/>
      <c r="V211" s="16018"/>
      <c r="W211" s="1461"/>
      <c r="X211" s="16003"/>
      <c r="Y211" s="16003"/>
      <c r="Z211" s="1648"/>
      <c r="AA211" s="1650"/>
      <c r="AB211" s="16057"/>
      <c r="AC211" s="16057"/>
      <c r="AD211" s="16057"/>
      <c r="AE211" s="16057"/>
      <c r="AF211" s="16057"/>
      <c r="AG211" s="16057"/>
      <c r="AH211" s="16057"/>
      <c r="AI211" s="16058"/>
    </row>
    <row r="212" spans="1:63" s="14359" customFormat="1" ht="15" customHeight="1">
      <c r="D212" s="16328"/>
      <c r="E212" s="16074"/>
      <c r="F212" s="16074"/>
      <c r="G212" s="16059"/>
      <c r="H212" s="1468"/>
      <c r="I212" s="16062"/>
      <c r="J212" s="16018"/>
      <c r="K212" s="1476"/>
      <c r="L212" s="16003"/>
      <c r="M212" s="16003"/>
      <c r="N212" s="1458"/>
      <c r="O212" s="16003"/>
      <c r="P212" s="16018"/>
      <c r="Q212" s="1652"/>
      <c r="R212" s="16003"/>
      <c r="S212" s="16003"/>
      <c r="T212" s="1720"/>
      <c r="U212" s="1465"/>
      <c r="V212" s="16057"/>
      <c r="W212" s="16057"/>
      <c r="X212" s="16057"/>
      <c r="Y212" s="16057"/>
      <c r="Z212" s="16057"/>
      <c r="AA212" s="16057"/>
      <c r="AB212" s="16057"/>
      <c r="AC212" s="16057"/>
      <c r="AD212" s="16057"/>
      <c r="AE212" s="16057"/>
      <c r="AF212" s="16057"/>
      <c r="AG212" s="16057"/>
      <c r="AH212" s="16057"/>
      <c r="AI212" s="16058"/>
    </row>
    <row r="213" spans="1:63" s="14359" customFormat="1" ht="11.25" customHeight="1">
      <c r="D213" s="16328"/>
      <c r="E213" s="16074"/>
      <c r="F213" s="16074"/>
      <c r="G213" s="16059"/>
      <c r="H213" s="1469"/>
      <c r="I213" s="16062"/>
      <c r="J213" s="16018"/>
      <c r="K213" s="1476"/>
      <c r="L213" s="16003"/>
      <c r="M213" s="16003"/>
      <c r="N213" s="1650"/>
      <c r="O213" s="1650"/>
      <c r="P213" s="16057"/>
      <c r="Q213" s="16057"/>
      <c r="R213" s="16057"/>
      <c r="S213" s="16057"/>
      <c r="T213" s="16057"/>
      <c r="U213" s="16057"/>
      <c r="V213" s="16057"/>
      <c r="W213" s="16057"/>
      <c r="X213" s="16057"/>
      <c r="Y213" s="16057"/>
      <c r="Z213" s="16057"/>
      <c r="AA213" s="16057"/>
      <c r="AB213" s="16057"/>
      <c r="AC213" s="16057"/>
      <c r="AD213" s="16057"/>
      <c r="AE213" s="16057"/>
      <c r="AF213" s="16057"/>
      <c r="AG213" s="16057"/>
      <c r="AH213" s="16057"/>
      <c r="AI213" s="16058"/>
    </row>
    <row r="214" spans="1:63" s="14393" customFormat="1" ht="11.25" customHeight="1">
      <c r="D214" s="16328"/>
      <c r="E214" s="16074"/>
      <c r="F214" s="16074"/>
      <c r="G214" s="16064"/>
      <c r="H214" s="1466"/>
      <c r="I214" s="1470"/>
      <c r="J214" s="16065"/>
      <c r="K214" s="16065"/>
      <c r="L214" s="16065"/>
      <c r="M214" s="16065"/>
      <c r="N214" s="16065"/>
      <c r="O214" s="16065"/>
      <c r="P214" s="16065"/>
      <c r="Q214" s="16065"/>
      <c r="R214" s="16065"/>
      <c r="S214" s="16065"/>
      <c r="T214" s="16065"/>
      <c r="U214" s="16065"/>
      <c r="V214" s="16065"/>
      <c r="W214" s="16065"/>
      <c r="X214" s="16065"/>
      <c r="Y214" s="16065"/>
      <c r="Z214" s="16065"/>
      <c r="AA214" s="16065"/>
      <c r="AB214" s="16065"/>
      <c r="AC214" s="16065"/>
      <c r="AD214" s="16065"/>
      <c r="AE214" s="16065"/>
      <c r="AF214" s="16065"/>
      <c r="AG214" s="16065"/>
      <c r="AH214" s="16065"/>
      <c r="AI214" s="16066"/>
      <c r="BK214" s="1442"/>
    </row>
    <row r="215" spans="1:63" ht="17.25" customHeight="1">
      <c r="A215" s="1711"/>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5928"/>
    <col min="2" max="2" width="43.140625" style="15928" hidden="1"/>
    <col min="3" max="3" width="43.140625" style="15928"/>
    <col min="4" max="5" width="36.42578125" style="15928" customWidth="1"/>
    <col min="6" max="8" width="36.42578125" style="15929" customWidth="1"/>
  </cols>
  <sheetData>
    <row r="1" spans="1:8" ht="9" customHeight="1">
      <c r="A1" s="741" t="s">
        <v>1994</v>
      </c>
      <c r="B1" s="741"/>
      <c r="C1" s="871" t="s">
        <v>1995</v>
      </c>
      <c r="D1" s="870" t="s">
        <v>860</v>
      </c>
      <c r="E1" s="870" t="s">
        <v>906</v>
      </c>
      <c r="F1" s="870" t="s">
        <v>961</v>
      </c>
      <c r="G1" s="870" t="s">
        <v>947</v>
      </c>
      <c r="H1" s="870" t="s">
        <v>1665</v>
      </c>
    </row>
    <row r="2" spans="1:8" ht="9" customHeight="1">
      <c r="A2" s="872" t="s">
        <v>1996</v>
      </c>
      <c r="B2" s="872"/>
      <c r="C2" s="873" t="str">
        <f>INDEX(TEMPLATE_NUMBER_FORM_LIST,MATCH(TEMPLATE_SPHERE,TEMPLATE_SPHERE_LIST,0))</f>
        <v>10</v>
      </c>
      <c r="D2" s="872" t="s">
        <v>1521</v>
      </c>
      <c r="E2" s="872" t="s">
        <v>128</v>
      </c>
      <c r="F2" s="874" t="s">
        <v>128</v>
      </c>
      <c r="G2" s="872" t="s">
        <v>128</v>
      </c>
      <c r="H2" s="875"/>
    </row>
    <row r="3" spans="1:8" ht="63" customHeight="1">
      <c r="A3" s="741"/>
      <c r="B3" s="741" t="s">
        <v>147</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73" t="s">
        <v>1997</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74"/>
      <c r="G3" s="875"/>
      <c r="H3" s="741"/>
    </row>
    <row r="4" spans="1:8" ht="243" customHeight="1">
      <c r="A4" s="741" t="s">
        <v>1998</v>
      </c>
      <c r="B4" s="741" t="s">
        <v>102</v>
      </c>
      <c r="C4" s="873" t="str">
        <f>IF(TEMPLATE_SPHERE="HEAT",D4,IF(TEMPLATE_SPHERE="TKO",H4,E4))</f>
        <v>Форма 1. Информация об организации, осуществляющей горячее водоснабжение (общая информация)</v>
      </c>
      <c r="D4" s="872" t="s">
        <v>1999</v>
      </c>
      <c r="E4" s="87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72"/>
      <c r="G4" s="872"/>
      <c r="H4" s="741" t="s">
        <v>2000</v>
      </c>
    </row>
    <row r="5" spans="1:8" ht="117" customHeight="1">
      <c r="A5" s="741" t="s">
        <v>2001</v>
      </c>
      <c r="B5" s="741" t="s">
        <v>89</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41" t="s">
        <v>2002</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75"/>
      <c r="G5" s="875"/>
      <c r="H5" s="741" t="s">
        <v>2003</v>
      </c>
    </row>
    <row r="6" spans="1:8" ht="45" customHeight="1">
      <c r="A6" s="741" t="s">
        <v>2004</v>
      </c>
      <c r="B6" s="741" t="s">
        <v>90</v>
      </c>
      <c r="C6" s="87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41" t="s">
        <v>2005</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41"/>
      <c r="G6" s="741"/>
      <c r="H6" s="875"/>
    </row>
    <row r="7" spans="1:8" ht="45" customHeight="1">
      <c r="A7" s="741" t="s">
        <v>2006</v>
      </c>
      <c r="B7" s="741" t="s">
        <v>117</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2007</v>
      </c>
      <c r="E7" s="741" t="s">
        <v>2008</v>
      </c>
      <c r="F7" s="875"/>
      <c r="G7" s="875"/>
      <c r="H7" s="875"/>
    </row>
    <row r="8" spans="1:8" ht="108" customHeight="1">
      <c r="A8" s="741" t="s">
        <v>2009</v>
      </c>
      <c r="B8" s="741" t="s">
        <v>91</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1210</v>
      </c>
      <c r="E8" s="741" t="s">
        <v>2010</v>
      </c>
      <c r="F8" s="875"/>
      <c r="G8" s="875"/>
      <c r="H8" s="875"/>
    </row>
    <row r="9" spans="1:8" ht="99" customHeight="1">
      <c r="A9" s="741" t="s">
        <v>2011</v>
      </c>
      <c r="B9" s="741"/>
      <c r="C9" s="741" t="s">
        <v>2012</v>
      </c>
      <c r="D9" s="741"/>
      <c r="E9" s="741"/>
      <c r="F9" s="875"/>
      <c r="G9" s="875"/>
      <c r="H9" s="875"/>
    </row>
    <row r="10" spans="1:8" ht="126" customHeight="1">
      <c r="A10" s="741" t="s">
        <v>2013</v>
      </c>
      <c r="B10" s="741"/>
      <c r="C10" s="741" t="s">
        <v>2014</v>
      </c>
      <c r="D10" s="741"/>
      <c r="E10" s="741"/>
      <c r="F10" s="875"/>
      <c r="G10" s="875"/>
      <c r="H10" s="875"/>
    </row>
    <row r="11" spans="1:8" ht="108" customHeight="1">
      <c r="A11" s="741" t="s">
        <v>2015</v>
      </c>
      <c r="B11" s="741"/>
      <c r="C11" s="741" t="s">
        <v>2016</v>
      </c>
      <c r="D11" s="741"/>
      <c r="E11" s="741"/>
      <c r="F11" s="875"/>
      <c r="G11" s="875"/>
      <c r="H11" s="875"/>
    </row>
    <row r="12" spans="1:8" ht="54" customHeight="1">
      <c r="A12" s="741" t="s">
        <v>2017</v>
      </c>
      <c r="B12" s="741"/>
      <c r="C12" s="741" t="s">
        <v>2018</v>
      </c>
      <c r="D12" s="741"/>
      <c r="E12" s="741"/>
      <c r="F12" s="875"/>
      <c r="G12" s="875"/>
      <c r="H12" s="875"/>
    </row>
    <row r="13" spans="1:8" ht="45" customHeight="1">
      <c r="A13" s="741" t="s">
        <v>2019</v>
      </c>
      <c r="B13" s="741"/>
      <c r="C13" s="741" t="s">
        <v>2020</v>
      </c>
      <c r="D13" s="741"/>
      <c r="E13" s="741"/>
      <c r="F13" s="875"/>
      <c r="G13" s="875"/>
      <c r="H13" s="875"/>
    </row>
    <row r="14" spans="1:8" ht="117" customHeight="1">
      <c r="A14" s="741" t="s">
        <v>2021</v>
      </c>
      <c r="B14" s="741"/>
      <c r="C14" s="741" t="s">
        <v>2022</v>
      </c>
      <c r="D14" s="741"/>
      <c r="E14" s="741"/>
      <c r="F14" s="875"/>
      <c r="G14" s="875"/>
      <c r="H14" s="875"/>
    </row>
    <row r="15" spans="1:8" ht="117" customHeight="1">
      <c r="A15" s="741" t="s">
        <v>2023</v>
      </c>
      <c r="B15" s="741"/>
      <c r="C15" s="741" t="s">
        <v>2024</v>
      </c>
      <c r="D15" s="741"/>
      <c r="E15" s="741"/>
      <c r="F15" s="875"/>
      <c r="G15" s="875"/>
      <c r="H15" s="875"/>
    </row>
    <row r="16" spans="1:8" ht="63" customHeight="1">
      <c r="A16" s="741" t="s">
        <v>2025</v>
      </c>
      <c r="B16" s="741"/>
      <c r="C16" s="741" t="s">
        <v>2026</v>
      </c>
      <c r="D16" s="741"/>
      <c r="E16" s="741"/>
      <c r="F16" s="875"/>
      <c r="G16" s="875"/>
      <c r="H16" s="875"/>
    </row>
    <row r="17" spans="1:8" ht="54" customHeight="1">
      <c r="A17" s="741" t="s">
        <v>2027</v>
      </c>
      <c r="B17" s="741"/>
      <c r="C17" s="873" t="s">
        <v>2028</v>
      </c>
      <c r="D17" s="741"/>
      <c r="E17" s="741"/>
      <c r="F17" s="875"/>
      <c r="G17" s="875"/>
      <c r="H17" s="875"/>
    </row>
    <row r="18" spans="1:8" ht="27" customHeight="1">
      <c r="A18" s="741" t="s">
        <v>2029</v>
      </c>
      <c r="B18" s="741"/>
      <c r="C18" s="873" t="s">
        <v>2030</v>
      </c>
      <c r="D18" s="741"/>
      <c r="E18" s="741"/>
      <c r="F18" s="875"/>
      <c r="G18" s="875"/>
      <c r="H18" s="875"/>
    </row>
    <row r="19" spans="1:8" ht="54" customHeight="1">
      <c r="A19" s="741" t="s">
        <v>2031</v>
      </c>
      <c r="B19" s="741"/>
      <c r="C19" s="873" t="s">
        <v>2032</v>
      </c>
      <c r="D19" s="741"/>
      <c r="E19" s="741"/>
      <c r="F19" s="875"/>
      <c r="G19" s="875"/>
      <c r="H19" s="875"/>
    </row>
    <row r="20" spans="1:8" ht="36" customHeight="1">
      <c r="A20" s="741" t="s">
        <v>2033</v>
      </c>
      <c r="B20" s="741"/>
      <c r="C20" s="873" t="s">
        <v>2034</v>
      </c>
      <c r="D20" s="741"/>
      <c r="E20" s="741"/>
      <c r="F20" s="875"/>
      <c r="G20" s="875"/>
      <c r="H20" s="875"/>
    </row>
    <row r="21" spans="1:8" ht="36" customHeight="1">
      <c r="A21" s="741" t="s">
        <v>2035</v>
      </c>
      <c r="B21" s="741"/>
      <c r="C21" s="873" t="s">
        <v>2036</v>
      </c>
      <c r="D21" s="741"/>
      <c r="E21" s="741"/>
      <c r="F21" s="875"/>
      <c r="G21" s="875"/>
      <c r="H21" s="875"/>
    </row>
    <row r="22" spans="1:8" ht="27" customHeight="1">
      <c r="A22" s="741" t="s">
        <v>2037</v>
      </c>
      <c r="B22" s="741"/>
      <c r="C22" s="873" t="s">
        <v>2038</v>
      </c>
      <c r="D22" s="741"/>
      <c r="E22" s="741"/>
      <c r="F22" s="875"/>
      <c r="G22" s="875"/>
      <c r="H22" s="875"/>
    </row>
    <row r="23" spans="1:8" ht="36" customHeight="1">
      <c r="A23" s="741" t="s">
        <v>2039</v>
      </c>
      <c r="B23" s="741"/>
      <c r="C23" s="873" t="s">
        <v>2040</v>
      </c>
      <c r="D23" s="741"/>
      <c r="E23" s="741"/>
      <c r="F23" s="875"/>
      <c r="G23" s="875"/>
      <c r="H23" s="875"/>
    </row>
    <row r="24" spans="1:8" ht="28.5" customHeight="1">
      <c r="A24" s="741" t="s">
        <v>2041</v>
      </c>
      <c r="B24" s="741"/>
      <c r="C24" s="873" t="s">
        <v>2042</v>
      </c>
      <c r="D24" s="741"/>
      <c r="E24" s="741"/>
      <c r="F24" s="875"/>
      <c r="G24" s="875"/>
      <c r="H24" s="875"/>
    </row>
    <row r="25" spans="1:8" ht="36" customHeight="1">
      <c r="A25" s="741" t="s">
        <v>2043</v>
      </c>
      <c r="B25" s="741"/>
      <c r="C25" s="873" t="s">
        <v>2044</v>
      </c>
      <c r="D25" s="741"/>
      <c r="E25" s="741"/>
      <c r="F25" s="875"/>
      <c r="G25" s="875"/>
      <c r="H25" s="875"/>
    </row>
    <row r="26" spans="1:8" ht="27" customHeight="1">
      <c r="A26" s="741" t="s">
        <v>2045</v>
      </c>
      <c r="B26" s="741"/>
      <c r="C26" s="873" t="s">
        <v>2046</v>
      </c>
      <c r="D26" s="741"/>
      <c r="E26" s="741"/>
      <c r="F26" s="875"/>
      <c r="G26" s="875"/>
      <c r="H26" s="875"/>
    </row>
    <row r="27" spans="1:8" ht="36" customHeight="1">
      <c r="A27" s="741" t="s">
        <v>2047</v>
      </c>
      <c r="B27" s="741"/>
      <c r="C27" s="873" t="s">
        <v>2048</v>
      </c>
      <c r="D27" s="741"/>
      <c r="E27" s="741"/>
      <c r="F27" s="875"/>
      <c r="G27" s="875"/>
      <c r="H27" s="875"/>
    </row>
    <row r="28" spans="1:8" ht="28.5" customHeight="1">
      <c r="A28" s="741" t="s">
        <v>2049</v>
      </c>
      <c r="B28" s="741"/>
      <c r="C28" s="873" t="s">
        <v>2050</v>
      </c>
      <c r="D28" s="741"/>
      <c r="E28" s="741"/>
      <c r="F28" s="875"/>
      <c r="G28" s="875"/>
      <c r="H28" s="875"/>
    </row>
    <row r="29" spans="1:8" ht="126" customHeight="1">
      <c r="A29" s="741" t="s">
        <v>2051</v>
      </c>
      <c r="B29" s="741" t="s">
        <v>1620</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41" t="s">
        <v>2052</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75"/>
      <c r="G29" s="875"/>
      <c r="H29" s="741" t="s">
        <v>2053</v>
      </c>
    </row>
    <row r="30" spans="1:8" ht="36" customHeight="1">
      <c r="A30" s="741" t="s">
        <v>2054</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41" t="s">
        <v>2055</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75"/>
      <c r="G30" s="875"/>
      <c r="H30" s="875"/>
    </row>
    <row r="31" spans="1:8" ht="54" customHeight="1">
      <c r="A31" s="741" t="s">
        <v>2056</v>
      </c>
      <c r="B31" s="741"/>
      <c r="C31" s="873" t="str">
        <f>IF(TEMPLATE_SPHERE="HEAT",D31,IF(TEMPLATE_SPHERE="TKO",H31,E31))</f>
        <v>Форма 1. Информация об организации, осуществляющей горячее водоснабжение (общая информация)</v>
      </c>
      <c r="D31" s="741" t="s">
        <v>2057</v>
      </c>
      <c r="E31" s="74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75"/>
      <c r="G31" s="875"/>
      <c r="H31" s="875"/>
    </row>
    <row r="32" spans="1:8" ht="198" customHeight="1">
      <c r="A32" s="741" t="s">
        <v>2058</v>
      </c>
      <c r="B32" s="741"/>
      <c r="C32" s="873" t="str">
        <f>IF(TEMPLATE_SPHERE="HEAT",D32,IF(TEMPLATE_SPHERE="TKO",H32,E32))</f>
        <v>Форма 7. Информация об инвестиционных программах организации горячего водоснабжения и отчетах об их исполнении</v>
      </c>
      <c r="D32" s="741" t="s">
        <v>2059</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75"/>
      <c r="G32" s="875"/>
      <c r="H32" s="741" t="s">
        <v>2060</v>
      </c>
    </row>
    <row r="33" spans="1:8" ht="9" customHeight="1">
      <c r="A33" s="741"/>
      <c r="B33" s="741"/>
      <c r="C33" s="873"/>
      <c r="D33" s="741"/>
      <c r="E33" s="741"/>
      <c r="F33" s="875"/>
      <c r="G33" s="875"/>
      <c r="H33" s="875"/>
    </row>
    <row r="34" spans="1:8" ht="9" customHeight="1">
      <c r="A34" s="741"/>
      <c r="B34" s="741" t="s">
        <v>1558</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5928"/>
    <col min="3" max="7" width="8" style="15931" customWidth="1"/>
    <col min="8" max="12" width="8.5703125" style="15931" customWidth="1"/>
    <col min="13" max="14" width="27.7109375" style="15931" customWidth="1"/>
    <col min="15" max="19" width="5.140625" style="15931" customWidth="1"/>
    <col min="20" max="24" width="27.7109375" style="15931" customWidth="1"/>
    <col min="25" max="25" width="1.85546875" style="15932" customWidth="1"/>
    <col min="26" max="26" width="27.7109375" style="15928" customWidth="1"/>
    <col min="27" max="27" width="27.7109375" style="15933" customWidth="1"/>
    <col min="28" max="29" width="27.7109375" style="15928" customWidth="1"/>
    <col min="30" max="30" width="3.85546875" style="15928" customWidth="1"/>
    <col min="31" max="34" width="9.140625" style="15928"/>
  </cols>
  <sheetData>
    <row r="1" spans="1:34" s="15930" customFormat="1" ht="18" customHeight="1">
      <c r="A1" s="792"/>
      <c r="B1" s="792"/>
      <c r="C1" s="792" t="s">
        <v>2061</v>
      </c>
      <c r="D1" s="792"/>
      <c r="E1" s="792"/>
      <c r="F1" s="792"/>
      <c r="G1" s="792"/>
      <c r="H1" s="792" t="s">
        <v>2062</v>
      </c>
      <c r="I1" s="792"/>
      <c r="J1" s="792"/>
      <c r="K1" s="792"/>
      <c r="L1" s="792"/>
      <c r="M1" s="792" t="s">
        <v>2063</v>
      </c>
      <c r="N1" s="792" t="s">
        <v>2064</v>
      </c>
      <c r="O1" s="16369" t="s">
        <v>2065</v>
      </c>
      <c r="P1" s="16369"/>
      <c r="Q1" s="16369"/>
      <c r="R1" s="16369"/>
      <c r="S1" s="16369"/>
      <c r="T1" s="16369" t="s">
        <v>2063</v>
      </c>
      <c r="U1" s="16369"/>
      <c r="V1" s="16369"/>
      <c r="W1" s="16369"/>
      <c r="X1" s="16369"/>
      <c r="Y1" s="888"/>
      <c r="Z1" s="16369" t="s">
        <v>2066</v>
      </c>
      <c r="AA1" s="16369"/>
      <c r="AB1" s="16369"/>
      <c r="AC1" s="16369"/>
      <c r="AD1" s="16369"/>
    </row>
    <row r="2" spans="1:34" ht="18" customHeight="1">
      <c r="A2" s="741"/>
      <c r="B2" s="741"/>
      <c r="C2" s="737" t="s">
        <v>860</v>
      </c>
      <c r="D2" s="737" t="s">
        <v>906</v>
      </c>
      <c r="E2" s="737" t="s">
        <v>961</v>
      </c>
      <c r="F2" s="737" t="s">
        <v>947</v>
      </c>
      <c r="G2" s="737" t="s">
        <v>1665</v>
      </c>
      <c r="H2" s="738"/>
      <c r="I2" s="738"/>
      <c r="J2" s="738"/>
      <c r="K2" s="738"/>
      <c r="L2" s="738"/>
      <c r="M2" s="738"/>
      <c r="N2" s="738"/>
      <c r="O2" s="737" t="s">
        <v>860</v>
      </c>
      <c r="P2" s="737" t="s">
        <v>906</v>
      </c>
      <c r="Q2" s="737" t="s">
        <v>947</v>
      </c>
      <c r="R2" s="737" t="s">
        <v>961</v>
      </c>
      <c r="S2" s="737" t="s">
        <v>1665</v>
      </c>
      <c r="T2" s="737" t="s">
        <v>860</v>
      </c>
      <c r="U2" s="737" t="s">
        <v>906</v>
      </c>
      <c r="V2" s="737" t="s">
        <v>947</v>
      </c>
      <c r="W2" s="737" t="s">
        <v>961</v>
      </c>
      <c r="X2" s="737" t="s">
        <v>1665</v>
      </c>
      <c r="Y2" s="737"/>
      <c r="Z2" s="737" t="s">
        <v>860</v>
      </c>
      <c r="AA2" s="745" t="s">
        <v>906</v>
      </c>
      <c r="AB2" s="737" t="s">
        <v>947</v>
      </c>
      <c r="AC2" s="737" t="s">
        <v>961</v>
      </c>
      <c r="AD2" s="737" t="s">
        <v>1665</v>
      </c>
    </row>
    <row r="3" spans="1:34" ht="162" customHeight="1">
      <c r="A3" s="740" t="s">
        <v>22</v>
      </c>
      <c r="B3" s="740"/>
      <c r="C3" s="16373" t="s">
        <v>2067</v>
      </c>
      <c r="D3" s="16374"/>
      <c r="E3" s="16374"/>
      <c r="F3" s="16375"/>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38"/>
      <c r="P3" s="738"/>
      <c r="Q3" s="738"/>
      <c r="R3" s="738"/>
      <c r="S3" s="738"/>
      <c r="T3" s="738"/>
      <c r="U3" s="738"/>
      <c r="V3" s="738"/>
      <c r="W3" s="738"/>
      <c r="X3" s="738"/>
      <c r="Y3" s="889"/>
      <c r="Z3" s="741" t="s">
        <v>2068</v>
      </c>
      <c r="AA3" s="738" t="s">
        <v>2069</v>
      </c>
      <c r="AB3" s="741" t="s">
        <v>2070</v>
      </c>
      <c r="AC3" s="741" t="s">
        <v>2071</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45" customHeight="1">
      <c r="A11" s="16370" t="s">
        <v>29</v>
      </c>
      <c r="B11" s="793">
        <v>1</v>
      </c>
      <c r="C11" s="16376" t="s">
        <v>1608</v>
      </c>
      <c r="D11" s="16376" t="s">
        <v>1604</v>
      </c>
      <c r="E11" s="16376" t="s">
        <v>1698</v>
      </c>
      <c r="F11" s="16376" t="s">
        <v>2072</v>
      </c>
      <c r="G11" s="16376"/>
      <c r="H11" s="792" t="s">
        <v>2073</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38"/>
      <c r="P11" s="738"/>
      <c r="Q11" s="738"/>
      <c r="R11" s="738"/>
      <c r="S11" s="738"/>
      <c r="T11" s="738" t="s">
        <v>2074</v>
      </c>
      <c r="U11" s="738" t="s">
        <v>2075</v>
      </c>
      <c r="V11" s="738"/>
      <c r="W11" s="738"/>
      <c r="X11" s="738"/>
      <c r="Y11" s="889"/>
      <c r="Z11" s="741" t="s">
        <v>2076</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41"/>
      <c r="AC11" s="741"/>
      <c r="AD11" s="741"/>
    </row>
    <row r="12" spans="1:34" ht="45" customHeight="1">
      <c r="A12" s="16370"/>
      <c r="B12" s="793">
        <v>2</v>
      </c>
      <c r="C12" s="16377"/>
      <c r="D12" s="16377"/>
      <c r="E12" s="16377"/>
      <c r="F12" s="16377"/>
      <c r="G12" s="16377"/>
      <c r="H12" s="792" t="s">
        <v>2077</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38"/>
      <c r="P12" s="738"/>
      <c r="Q12" s="738"/>
      <c r="R12" s="738"/>
      <c r="S12" s="738"/>
      <c r="T12" s="738" t="s">
        <v>2078</v>
      </c>
      <c r="U12" s="738" t="s">
        <v>2079</v>
      </c>
      <c r="V12" s="738"/>
      <c r="W12" s="738"/>
      <c r="X12" s="738"/>
      <c r="Y12" s="889"/>
      <c r="Z12" s="741" t="s">
        <v>2080</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41"/>
      <c r="AC12" s="741"/>
      <c r="AD12" s="741"/>
    </row>
    <row r="13" spans="1:34" ht="72" customHeight="1">
      <c r="A13" s="16370"/>
      <c r="B13" s="793">
        <v>3</v>
      </c>
      <c r="C13" s="16377"/>
      <c r="D13" s="16377"/>
      <c r="E13" s="16377"/>
      <c r="F13" s="16377"/>
      <c r="G13" s="16377"/>
      <c r="H13" s="16369" t="s">
        <v>2081</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38"/>
      <c r="P13" s="739"/>
      <c r="Q13" s="739"/>
      <c r="R13" s="739"/>
      <c r="S13" s="738"/>
      <c r="T13" s="738" t="s">
        <v>2082</v>
      </c>
      <c r="U13" s="739" t="s">
        <v>2083</v>
      </c>
      <c r="V13" s="739"/>
      <c r="W13" s="739"/>
      <c r="X13" s="738"/>
      <c r="Y13" s="889"/>
      <c r="Z13" s="741" t="s">
        <v>2084</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41"/>
      <c r="AC13" s="741"/>
      <c r="AD13" s="741"/>
    </row>
    <row r="14" spans="1:34" ht="45" customHeight="1">
      <c r="A14" s="16370"/>
      <c r="B14" s="793">
        <v>4</v>
      </c>
      <c r="C14" s="16377"/>
      <c r="D14" s="16377"/>
      <c r="E14" s="16377"/>
      <c r="F14" s="16377"/>
      <c r="G14" s="16377"/>
      <c r="H14" s="16369"/>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2085</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39"/>
      <c r="W14" s="739"/>
      <c r="X14" s="738"/>
      <c r="Y14" s="889"/>
      <c r="Z14" s="741" t="s">
        <v>2086</v>
      </c>
      <c r="AA14" s="744" t="s">
        <v>2086</v>
      </c>
      <c r="AB14" s="741"/>
      <c r="AC14" s="741"/>
      <c r="AD14" s="741"/>
    </row>
    <row r="15" spans="1:34" ht="108" customHeight="1">
      <c r="A15" s="16370"/>
      <c r="B15" s="793">
        <v>5</v>
      </c>
      <c r="C15" s="16377"/>
      <c r="D15" s="16377"/>
      <c r="E15" s="16377"/>
      <c r="F15" s="16377"/>
      <c r="G15" s="16377"/>
      <c r="H15" s="16371" t="s">
        <v>2087</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38"/>
      <c r="P15" s="739"/>
      <c r="Q15" s="739"/>
      <c r="R15" s="739"/>
      <c r="S15" s="738"/>
      <c r="T15" s="738" t="s">
        <v>2088</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39"/>
      <c r="W15" s="739"/>
      <c r="X15" s="738"/>
      <c r="Y15" s="889"/>
      <c r="Z15" s="741" t="s">
        <v>2089</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41"/>
      <c r="AC15" s="741"/>
      <c r="AD15" s="741"/>
    </row>
    <row r="16" spans="1:34" ht="108" customHeight="1">
      <c r="A16" s="793"/>
      <c r="B16" s="793">
        <v>6</v>
      </c>
      <c r="C16" s="16378"/>
      <c r="D16" s="16378"/>
      <c r="E16" s="16378"/>
      <c r="F16" s="16378"/>
      <c r="G16" s="16378"/>
      <c r="H16" s="16372"/>
      <c r="I16" s="852"/>
      <c r="J16" s="852"/>
      <c r="K16" s="852"/>
      <c r="L16" s="852"/>
      <c r="M16" s="786"/>
      <c r="N16" s="74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38"/>
      <c r="P16" s="739"/>
      <c r="Q16" s="739"/>
      <c r="R16" s="739"/>
      <c r="S16" s="738"/>
      <c r="T16" s="738"/>
      <c r="U16" s="739"/>
      <c r="V16" s="739"/>
      <c r="W16" s="739"/>
      <c r="X16" s="738"/>
      <c r="Y16" s="889"/>
      <c r="Z16" s="741" t="s">
        <v>2089</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1701</v>
      </c>
      <c r="B18" s="793">
        <v>1</v>
      </c>
      <c r="C18" s="738" t="s">
        <v>2073</v>
      </c>
      <c r="D18" s="857" t="s">
        <v>2073</v>
      </c>
      <c r="E18" s="738" t="s">
        <v>2073</v>
      </c>
      <c r="F18" s="738" t="s">
        <v>2073</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горячего водоснабжения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горячего водоснабжения</v>
      </c>
      <c r="N18" s="739" t="str">
        <f t="shared" ref="N18:N49" si="6">IF(K18=0,"",K18)</f>
        <v>Указывается выручка с распределением по видам деятельности.</v>
      </c>
      <c r="O18" s="847">
        <v>1</v>
      </c>
      <c r="P18" s="847">
        <v>1</v>
      </c>
      <c r="Q18" s="847">
        <v>1</v>
      </c>
      <c r="R18" s="847">
        <v>1</v>
      </c>
      <c r="S18" s="847"/>
      <c r="T18" s="854" t="s">
        <v>2090</v>
      </c>
      <c r="U18" s="741" t="s">
        <v>2091</v>
      </c>
      <c r="V18" s="741" t="s">
        <v>2092</v>
      </c>
      <c r="W18" s="741" t="s">
        <v>2093</v>
      </c>
      <c r="X18" s="738"/>
      <c r="Y18" s="889"/>
      <c r="Z18" s="741" t="s">
        <v>2094</v>
      </c>
      <c r="AA18" s="744" t="s">
        <v>2095</v>
      </c>
      <c r="AB18" s="744" t="s">
        <v>2095</v>
      </c>
      <c r="AC18" s="744" t="s">
        <v>2095</v>
      </c>
      <c r="AD18" s="741"/>
    </row>
    <row r="19" spans="1:30" ht="36" customHeight="1">
      <c r="A19" s="740"/>
      <c r="B19" s="793">
        <v>2</v>
      </c>
      <c r="C19" s="738" t="s">
        <v>2077</v>
      </c>
      <c r="D19" s="857" t="s">
        <v>2077</v>
      </c>
      <c r="E19" s="738" t="s">
        <v>2077</v>
      </c>
      <c r="F19" s="738" t="s">
        <v>2077</v>
      </c>
      <c r="G19" s="738"/>
      <c r="H19" s="890"/>
      <c r="I19" s="893">
        <f t="shared" si="1"/>
        <v>2</v>
      </c>
      <c r="J19" s="893" t="str">
        <f t="shared" si="2"/>
        <v>Себестоимость производимых товаров (оказываемых услуг) по регулируемым видам деятельности в сфере горячего водоснабжения,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горячего водоснабжения, включая:</v>
      </c>
      <c r="N19" s="739" t="str">
        <f t="shared" si="6"/>
        <v>Указывается суммарная себестоимость производимых товаров.</v>
      </c>
      <c r="O19" s="847">
        <v>2</v>
      </c>
      <c r="P19" s="847">
        <v>2</v>
      </c>
      <c r="Q19" s="847">
        <v>2</v>
      </c>
      <c r="R19" s="847">
        <v>2</v>
      </c>
      <c r="S19" s="847"/>
      <c r="T19" s="854" t="s">
        <v>2096</v>
      </c>
      <c r="U19" s="741" t="s">
        <v>2097</v>
      </c>
      <c r="V19" s="741" t="s">
        <v>2098</v>
      </c>
      <c r="W19" s="741" t="s">
        <v>2099</v>
      </c>
      <c r="X19" s="738"/>
      <c r="Y19" s="889"/>
      <c r="Z19" s="741" t="s">
        <v>2100</v>
      </c>
      <c r="AA19" s="744" t="s">
        <v>2100</v>
      </c>
      <c r="AB19" s="744" t="s">
        <v>2100</v>
      </c>
      <c r="AC19" s="744" t="s">
        <v>2100</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используемую для горячего водоснабжения</v>
      </c>
      <c r="K20" s="893">
        <f t="shared" si="3"/>
        <v>0</v>
      </c>
      <c r="L20" s="739" t="str">
        <f t="shared" si="4"/>
        <v>2.1</v>
      </c>
      <c r="M20" s="739" t="str">
        <f t="shared" si="5"/>
        <v>Расходы на приобретаемую тепловую энергию (мощность), используемую для горячего водоснабжения</v>
      </c>
      <c r="N20" s="739" t="str">
        <f t="shared" si="6"/>
        <v/>
      </c>
      <c r="O20" s="847" t="s">
        <v>760</v>
      </c>
      <c r="P20" s="847" t="s">
        <v>760</v>
      </c>
      <c r="Q20" s="847" t="s">
        <v>760</v>
      </c>
      <c r="R20" s="847" t="s">
        <v>760</v>
      </c>
      <c r="S20" s="847"/>
      <c r="T20" s="854" t="s">
        <v>2101</v>
      </c>
      <c r="U20" s="741" t="s">
        <v>2102</v>
      </c>
      <c r="V20" s="741" t="s">
        <v>2103</v>
      </c>
      <c r="W20" s="741" t="s">
        <v>2104</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444</v>
      </c>
      <c r="P21" s="847"/>
      <c r="Q21" s="847"/>
      <c r="R21" s="847"/>
      <c r="S21" s="847"/>
      <c r="T21" s="854" t="s">
        <v>2105</v>
      </c>
      <c r="U21" s="741"/>
      <c r="V21" s="741"/>
      <c r="W21" s="741"/>
      <c r="X21" s="738"/>
      <c r="Y21" s="889"/>
      <c r="Z21" s="741" t="s">
        <v>2106</v>
      </c>
      <c r="AA21" s="744"/>
      <c r="AB21" s="741"/>
      <c r="AC21" s="741"/>
      <c r="AD21" s="741"/>
    </row>
    <row r="22" spans="1:30" ht="36" customHeight="1">
      <c r="A22" s="740"/>
      <c r="B22" s="793">
        <v>5</v>
      </c>
      <c r="C22" s="738">
        <v>3</v>
      </c>
      <c r="D22" s="857"/>
      <c r="E22" s="738"/>
      <c r="F22" s="738"/>
      <c r="G22" s="785"/>
      <c r="H22" s="848"/>
      <c r="I22" s="893" t="str">
        <f t="shared" si="1"/>
        <v>2.2</v>
      </c>
      <c r="J22" s="893" t="str">
        <f t="shared" si="2"/>
        <v>Расходы на тепловую энергию, производимую с применением собственных источников и используемую для горячего водоснабжения</v>
      </c>
      <c r="K22" s="893">
        <f t="shared" si="3"/>
        <v>0</v>
      </c>
      <c r="L22" s="739" t="str">
        <f t="shared" si="4"/>
        <v>2.2</v>
      </c>
      <c r="M22" s="739" t="str">
        <f t="shared" si="5"/>
        <v>Расходы на тепловую энергию, производимую с применением собственных источников и используемую для горячего водоснабжения</v>
      </c>
      <c r="N22" s="739" t="str">
        <f t="shared" si="6"/>
        <v/>
      </c>
      <c r="O22" s="847"/>
      <c r="P22" s="847"/>
      <c r="Q22" s="847" t="s">
        <v>444</v>
      </c>
      <c r="R22" s="847"/>
      <c r="S22" s="847"/>
      <c r="T22" s="854"/>
      <c r="U22" s="741"/>
      <c r="V22" s="741" t="s">
        <v>2107</v>
      </c>
      <c r="W22" s="741"/>
      <c r="X22" s="738"/>
      <c r="Y22" s="889"/>
      <c r="Z22" s="741"/>
      <c r="AA22" s="744"/>
      <c r="AB22" s="741"/>
      <c r="AC22" s="741"/>
      <c r="AD22" s="741"/>
    </row>
    <row r="23" spans="1:30" ht="27" customHeight="1">
      <c r="A23" s="740"/>
      <c r="B23" s="793">
        <v>6</v>
      </c>
      <c r="C23" s="738">
        <v>4</v>
      </c>
      <c r="D23" s="857"/>
      <c r="E23" s="738"/>
      <c r="F23" s="738"/>
      <c r="G23" s="785"/>
      <c r="H23" s="848"/>
      <c r="I23" s="893" t="str">
        <f t="shared" si="1"/>
        <v>2.3</v>
      </c>
      <c r="J23" s="893" t="str">
        <f t="shared" si="2"/>
        <v>Расходы на приобретаемую холодную воду, используемую для горячего водоснабжения</v>
      </c>
      <c r="K23" s="893">
        <f t="shared" si="3"/>
        <v>0</v>
      </c>
      <c r="L23" s="739" t="str">
        <f t="shared" si="4"/>
        <v>2.3</v>
      </c>
      <c r="M23" s="739" t="str">
        <f t="shared" si="5"/>
        <v>Расходы на приобретаемую холодную воду, используемую для горячего водоснабжения</v>
      </c>
      <c r="N23" s="739" t="str">
        <f t="shared" si="6"/>
        <v/>
      </c>
      <c r="O23" s="847"/>
      <c r="P23" s="847"/>
      <c r="Q23" s="847" t="s">
        <v>447</v>
      </c>
      <c r="R23" s="847"/>
      <c r="S23" s="847"/>
      <c r="T23" s="854"/>
      <c r="U23" s="741"/>
      <c r="V23" s="741" t="s">
        <v>2108</v>
      </c>
      <c r="W23" s="741"/>
      <c r="X23" s="738"/>
      <c r="Y23" s="889"/>
      <c r="Z23" s="741"/>
      <c r="AA23" s="744"/>
      <c r="AB23" s="741"/>
      <c r="AC23" s="741"/>
      <c r="AD23" s="741"/>
    </row>
    <row r="24" spans="1:30" ht="36" customHeight="1">
      <c r="A24" s="740"/>
      <c r="B24" s="793">
        <v>7</v>
      </c>
      <c r="C24" s="738">
        <v>5</v>
      </c>
      <c r="D24" s="857"/>
      <c r="E24" s="738"/>
      <c r="F24" s="738"/>
      <c r="G24" s="785"/>
      <c r="H24" s="848"/>
      <c r="I24" s="893" t="str">
        <f t="shared" si="1"/>
        <v>2.4</v>
      </c>
      <c r="J24" s="893"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93">
        <f t="shared" si="3"/>
        <v>0</v>
      </c>
      <c r="L24" s="739" t="str">
        <f t="shared" si="4"/>
        <v>2.4</v>
      </c>
      <c r="M24" s="73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39" t="str">
        <f t="shared" si="6"/>
        <v/>
      </c>
      <c r="O24" s="847"/>
      <c r="P24" s="847"/>
      <c r="Q24" s="847" t="s">
        <v>780</v>
      </c>
      <c r="R24" s="847"/>
      <c r="S24" s="847"/>
      <c r="T24" s="854"/>
      <c r="U24" s="741"/>
      <c r="V24" s="741" t="s">
        <v>2109</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2.5</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2.5</v>
      </c>
      <c r="M25" s="739" t="str">
        <f t="shared" si="5"/>
        <v>Расходы на приобретаемую электрическую энергию (мощность), используемую в технологическом процессе</v>
      </c>
      <c r="N25" s="739" t="str">
        <f t="shared" si="6"/>
        <v/>
      </c>
      <c r="O25" s="847" t="s">
        <v>447</v>
      </c>
      <c r="P25" s="847" t="s">
        <v>444</v>
      </c>
      <c r="Q25" s="847" t="s">
        <v>787</v>
      </c>
      <c r="R25" s="847" t="s">
        <v>444</v>
      </c>
      <c r="S25" s="847"/>
      <c r="T25" s="854" t="s">
        <v>2110</v>
      </c>
      <c r="U25" s="741" t="s">
        <v>2110</v>
      </c>
      <c r="V25" s="741" t="s">
        <v>2110</v>
      </c>
      <c r="W25" s="741" t="s">
        <v>2110</v>
      </c>
      <c r="X25" s="738"/>
      <c r="Y25" s="889"/>
      <c r="Z25" s="741"/>
      <c r="AA25" s="744"/>
      <c r="AB25" s="741"/>
      <c r="AC25" s="741"/>
      <c r="AD25" s="741"/>
    </row>
    <row r="26" spans="1:30" ht="18" customHeight="1">
      <c r="A26" s="740"/>
      <c r="B26" s="793">
        <v>9</v>
      </c>
      <c r="C26" s="738" t="s">
        <v>959</v>
      </c>
      <c r="D26" s="857"/>
      <c r="E26" s="738"/>
      <c r="F26" s="738"/>
      <c r="G26" s="785"/>
      <c r="H26" s="848"/>
      <c r="I26" s="893" t="str">
        <f t="shared" si="1"/>
        <v>2.5.1</v>
      </c>
      <c r="J26" s="893" t="str">
        <f t="shared" si="2"/>
        <v>Средневзвешенная стоимость 1 кВт.ч (с учетом мощности)</v>
      </c>
      <c r="K26" s="893">
        <f t="shared" si="3"/>
        <v>0</v>
      </c>
      <c r="L26" s="739" t="str">
        <f t="shared" si="4"/>
        <v>2.5.1</v>
      </c>
      <c r="M26" s="739" t="str">
        <f t="shared" si="5"/>
        <v>Средневзвешенная стоимость 1 кВт.ч (с учетом мощности)</v>
      </c>
      <c r="N26" s="739" t="str">
        <f t="shared" si="6"/>
        <v/>
      </c>
      <c r="O26" s="847" t="s">
        <v>776</v>
      </c>
      <c r="P26" s="847" t="s">
        <v>770</v>
      </c>
      <c r="Q26" s="847" t="s">
        <v>2111</v>
      </c>
      <c r="R26" s="847" t="s">
        <v>770</v>
      </c>
      <c r="S26" s="847"/>
      <c r="T26" s="854" t="s">
        <v>2112</v>
      </c>
      <c r="U26" s="854" t="s">
        <v>2112</v>
      </c>
      <c r="V26" s="854" t="s">
        <v>2112</v>
      </c>
      <c r="W26" s="854" t="s">
        <v>2112</v>
      </c>
      <c r="X26" s="738"/>
      <c r="Y26" s="889"/>
      <c r="Z26" s="741"/>
      <c r="AA26" s="744"/>
      <c r="AB26" s="741"/>
      <c r="AC26" s="741"/>
      <c r="AD26" s="741"/>
    </row>
    <row r="27" spans="1:30" ht="18" customHeight="1">
      <c r="A27" s="740"/>
      <c r="B27" s="793">
        <v>10</v>
      </c>
      <c r="C27" s="738" t="s">
        <v>2113</v>
      </c>
      <c r="D27" s="857"/>
      <c r="E27" s="738"/>
      <c r="F27" s="738"/>
      <c r="G27" s="785"/>
      <c r="H27" s="848"/>
      <c r="I27" s="893" t="str">
        <f t="shared" si="1"/>
        <v>2.5.2</v>
      </c>
      <c r="J27" s="893" t="str">
        <f t="shared" si="2"/>
        <v>Объём приобретения электрической энергии</v>
      </c>
      <c r="K27" s="893">
        <f t="shared" si="3"/>
        <v>0</v>
      </c>
      <c r="L27" s="739" t="str">
        <f t="shared" si="4"/>
        <v>2.5.2</v>
      </c>
      <c r="M27" s="739" t="str">
        <f t="shared" si="5"/>
        <v>Объём приобретения электрической энергии</v>
      </c>
      <c r="N27" s="739" t="str">
        <f t="shared" si="6"/>
        <v/>
      </c>
      <c r="O27" s="847" t="s">
        <v>778</v>
      </c>
      <c r="P27" s="847" t="s">
        <v>772</v>
      </c>
      <c r="Q27" s="847" t="s">
        <v>2114</v>
      </c>
      <c r="R27" s="847" t="s">
        <v>772</v>
      </c>
      <c r="S27" s="847"/>
      <c r="T27" s="854" t="s">
        <v>2115</v>
      </c>
      <c r="U27" s="854" t="s">
        <v>2115</v>
      </c>
      <c r="V27" s="854" t="s">
        <v>2115</v>
      </c>
      <c r="W27" s="854" t="s">
        <v>2115</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780</v>
      </c>
      <c r="P28" s="847"/>
      <c r="Q28" s="847"/>
      <c r="R28" s="847"/>
      <c r="S28" s="847"/>
      <c r="T28" s="854" t="s">
        <v>2116</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f t="shared" si="1"/>
        <v>0</v>
      </c>
      <c r="J29" s="893">
        <f t="shared" si="2"/>
        <v>0</v>
      </c>
      <c r="K29" s="893">
        <f t="shared" si="3"/>
        <v>0</v>
      </c>
      <c r="L29" s="739" t="str">
        <f t="shared" si="4"/>
        <v/>
      </c>
      <c r="M29" s="739" t="str">
        <f t="shared" si="5"/>
        <v/>
      </c>
      <c r="N29" s="739" t="str">
        <f t="shared" si="6"/>
        <v/>
      </c>
      <c r="O29" s="847" t="s">
        <v>787</v>
      </c>
      <c r="P29" s="847" t="s">
        <v>447</v>
      </c>
      <c r="Q29" s="847"/>
      <c r="R29" s="847" t="s">
        <v>447</v>
      </c>
      <c r="S29" s="847"/>
      <c r="T29" s="854" t="s">
        <v>2117</v>
      </c>
      <c r="U29" s="741" t="s">
        <v>2117</v>
      </c>
      <c r="V29" s="741"/>
      <c r="W29" s="741" t="s">
        <v>2117</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789</v>
      </c>
      <c r="P30" s="847" t="s">
        <v>780</v>
      </c>
      <c r="Q30" s="847" t="s">
        <v>789</v>
      </c>
      <c r="R30" s="847" t="s">
        <v>780</v>
      </c>
      <c r="S30" s="847"/>
      <c r="T30" s="854" t="s">
        <v>2118</v>
      </c>
      <c r="U30" s="741" t="s">
        <v>2118</v>
      </c>
      <c r="V30" s="741" t="s">
        <v>2118</v>
      </c>
      <c r="W30" s="741" t="s">
        <v>2118</v>
      </c>
      <c r="X30" s="738"/>
      <c r="Y30" s="889"/>
      <c r="Z30" s="741"/>
      <c r="AA30" s="744" t="s">
        <v>2119</v>
      </c>
      <c r="AB30" s="744" t="s">
        <v>2119</v>
      </c>
      <c r="AC30" s="744" t="s">
        <v>2119</v>
      </c>
      <c r="AD30" s="741"/>
    </row>
    <row r="31" spans="1:30" ht="18" customHeight="1">
      <c r="A31" s="740"/>
      <c r="B31" s="793">
        <v>14</v>
      </c>
      <c r="C31" s="738" t="s">
        <v>2120</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2121</v>
      </c>
      <c r="P31" s="847" t="s">
        <v>783</v>
      </c>
      <c r="Q31" s="847" t="s">
        <v>2121</v>
      </c>
      <c r="R31" s="847" t="s">
        <v>783</v>
      </c>
      <c r="S31" s="847"/>
      <c r="T31" s="855" t="s">
        <v>2122</v>
      </c>
      <c r="U31" s="741" t="s">
        <v>2122</v>
      </c>
      <c r="V31" s="741" t="s">
        <v>2122</v>
      </c>
      <c r="W31" s="741" t="s">
        <v>2122</v>
      </c>
      <c r="X31" s="738"/>
      <c r="Y31" s="889"/>
      <c r="Z31" s="741"/>
      <c r="AA31" s="744"/>
      <c r="AB31" s="744"/>
      <c r="AC31" s="744"/>
      <c r="AD31" s="741"/>
    </row>
    <row r="32" spans="1:30" ht="36" customHeight="1">
      <c r="A32" s="740"/>
      <c r="B32" s="793">
        <v>15</v>
      </c>
      <c r="C32" s="738" t="s">
        <v>2123</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2124</v>
      </c>
      <c r="P32" s="847" t="s">
        <v>785</v>
      </c>
      <c r="Q32" s="847" t="s">
        <v>2124</v>
      </c>
      <c r="R32" s="847" t="s">
        <v>785</v>
      </c>
      <c r="S32" s="847"/>
      <c r="T32" s="856" t="s">
        <v>2125</v>
      </c>
      <c r="U32" s="741" t="s">
        <v>2125</v>
      </c>
      <c r="V32" s="741" t="s">
        <v>2125</v>
      </c>
      <c r="W32" s="741" t="s">
        <v>2125</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791</v>
      </c>
      <c r="P33" s="847" t="s">
        <v>787</v>
      </c>
      <c r="Q33" s="847" t="s">
        <v>791</v>
      </c>
      <c r="R33" s="847" t="s">
        <v>787</v>
      </c>
      <c r="S33" s="847"/>
      <c r="T33" s="855" t="s">
        <v>2126</v>
      </c>
      <c r="U33" s="741" t="s">
        <v>2126</v>
      </c>
      <c r="V33" s="741" t="s">
        <v>2126</v>
      </c>
      <c r="W33" s="741" t="s">
        <v>2127</v>
      </c>
      <c r="X33" s="738"/>
      <c r="Y33" s="889"/>
      <c r="Z33" s="741"/>
      <c r="AA33" s="744" t="s">
        <v>2128</v>
      </c>
      <c r="AB33" s="744" t="s">
        <v>2128</v>
      </c>
      <c r="AC33" s="744" t="s">
        <v>2128</v>
      </c>
      <c r="AD33" s="741"/>
    </row>
    <row r="34" spans="1:30" ht="27" customHeight="1">
      <c r="A34" s="740"/>
      <c r="B34" s="793">
        <v>17</v>
      </c>
      <c r="C34" s="738" t="s">
        <v>2129</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2130</v>
      </c>
      <c r="P34" s="847" t="s">
        <v>2111</v>
      </c>
      <c r="Q34" s="847" t="s">
        <v>2130</v>
      </c>
      <c r="R34" s="847" t="s">
        <v>2111</v>
      </c>
      <c r="S34" s="847"/>
      <c r="T34" s="856" t="s">
        <v>2131</v>
      </c>
      <c r="U34" s="741" t="s">
        <v>2131</v>
      </c>
      <c r="V34" s="741" t="s">
        <v>2131</v>
      </c>
      <c r="W34" s="741" t="s">
        <v>2132</v>
      </c>
      <c r="X34" s="738"/>
      <c r="Y34" s="889"/>
      <c r="Z34" s="741"/>
      <c r="AA34" s="744"/>
      <c r="AB34" s="741"/>
      <c r="AC34" s="741"/>
      <c r="AD34" s="741"/>
    </row>
    <row r="35" spans="1:30" ht="45" customHeight="1">
      <c r="A35" s="740"/>
      <c r="B35" s="793">
        <v>18</v>
      </c>
      <c r="C35" s="738" t="s">
        <v>2133</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2134</v>
      </c>
      <c r="P35" s="847" t="s">
        <v>2114</v>
      </c>
      <c r="Q35" s="847" t="s">
        <v>2134</v>
      </c>
      <c r="R35" s="847" t="s">
        <v>2114</v>
      </c>
      <c r="S35" s="847"/>
      <c r="T35" s="854" t="s">
        <v>2135</v>
      </c>
      <c r="U35" s="741" t="s">
        <v>2135</v>
      </c>
      <c r="V35" s="741" t="s">
        <v>2135</v>
      </c>
      <c r="W35" s="741" t="s">
        <v>2135</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793</v>
      </c>
      <c r="P36" s="847" t="s">
        <v>789</v>
      </c>
      <c r="Q36" s="847" t="s">
        <v>793</v>
      </c>
      <c r="R36" s="847" t="s">
        <v>789</v>
      </c>
      <c r="S36" s="847"/>
      <c r="T36" s="854" t="s">
        <v>2136</v>
      </c>
      <c r="U36" s="741" t="s">
        <v>2136</v>
      </c>
      <c r="V36" s="741" t="s">
        <v>2136</v>
      </c>
      <c r="W36" s="741" t="s">
        <v>2136</v>
      </c>
      <c r="X36" s="738"/>
      <c r="Y36" s="889"/>
      <c r="Z36" s="741"/>
      <c r="AA36" s="744"/>
      <c r="AB36" s="741"/>
      <c r="AC36" s="741"/>
      <c r="AD36" s="741"/>
    </row>
    <row r="37" spans="1:30" ht="18" customHeight="1">
      <c r="A37" s="740"/>
      <c r="B37" s="793">
        <v>20</v>
      </c>
      <c r="C37" s="738" t="s">
        <v>2137</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2138</v>
      </c>
      <c r="P37" s="847" t="s">
        <v>2121</v>
      </c>
      <c r="Q37" s="847" t="s">
        <v>2138</v>
      </c>
      <c r="R37" s="847" t="s">
        <v>2121</v>
      </c>
      <c r="S37" s="847"/>
      <c r="T37" s="854" t="s">
        <v>2139</v>
      </c>
      <c r="U37" s="741" t="s">
        <v>2139</v>
      </c>
      <c r="V37" s="741" t="s">
        <v>2139</v>
      </c>
      <c r="W37" s="741" t="s">
        <v>2139</v>
      </c>
      <c r="X37" s="738"/>
      <c r="Y37" s="889"/>
      <c r="Z37" s="741"/>
      <c r="AA37" s="744"/>
      <c r="AB37" s="741"/>
      <c r="AC37" s="741"/>
      <c r="AD37" s="741"/>
    </row>
    <row r="38" spans="1:30" ht="18" customHeight="1">
      <c r="A38" s="740"/>
      <c r="B38" s="793">
        <v>21</v>
      </c>
      <c r="C38" s="738" t="s">
        <v>2140</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2141</v>
      </c>
      <c r="P38" s="847" t="s">
        <v>2124</v>
      </c>
      <c r="Q38" s="847" t="s">
        <v>2141</v>
      </c>
      <c r="R38" s="847" t="s">
        <v>2124</v>
      </c>
      <c r="S38" s="847"/>
      <c r="T38" s="854" t="s">
        <v>2142</v>
      </c>
      <c r="U38" s="741" t="s">
        <v>2142</v>
      </c>
      <c r="V38" s="741" t="s">
        <v>2142</v>
      </c>
      <c r="W38" s="741" t="s">
        <v>2142</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регулируемых видов деятельности в сфере горячего водоснабжения</v>
      </c>
      <c r="K39" s="893">
        <f t="shared" si="3"/>
        <v>0</v>
      </c>
      <c r="L39" s="739" t="str">
        <f t="shared" si="4"/>
        <v>2.9</v>
      </c>
      <c r="M39" s="739" t="str">
        <f t="shared" si="5"/>
        <v>Расходы на аренду имущества, используемого для осуществления регулируемых видов деятельности в сфере горячего водоснабжения</v>
      </c>
      <c r="N39" s="739" t="str">
        <f t="shared" si="6"/>
        <v/>
      </c>
      <c r="O39" s="847" t="s">
        <v>797</v>
      </c>
      <c r="P39" s="847" t="s">
        <v>791</v>
      </c>
      <c r="Q39" s="847" t="s">
        <v>797</v>
      </c>
      <c r="R39" s="847" t="s">
        <v>791</v>
      </c>
      <c r="S39" s="847"/>
      <c r="T39" s="854" t="s">
        <v>2143</v>
      </c>
      <c r="U39" s="741" t="s">
        <v>2144</v>
      </c>
      <c r="V39" s="741" t="s">
        <v>2145</v>
      </c>
      <c r="W39" s="741" t="s">
        <v>2146</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2147</v>
      </c>
      <c r="P40" s="847" t="s">
        <v>793</v>
      </c>
      <c r="Q40" s="847" t="s">
        <v>2147</v>
      </c>
      <c r="R40" s="847" t="s">
        <v>793</v>
      </c>
      <c r="S40" s="847"/>
      <c r="T40" s="738" t="s">
        <v>2148</v>
      </c>
      <c r="U40" s="738" t="s">
        <v>2148</v>
      </c>
      <c r="V40" s="738" t="s">
        <v>2148</v>
      </c>
      <c r="W40" s="738" t="s">
        <v>2148</v>
      </c>
      <c r="X40" s="738"/>
      <c r="Y40" s="889"/>
      <c r="Z40" s="741" t="s">
        <v>2149</v>
      </c>
      <c r="AA40" s="744" t="s">
        <v>2149</v>
      </c>
      <c r="AB40" s="744" t="s">
        <v>2149</v>
      </c>
      <c r="AC40" s="744" t="s">
        <v>2149</v>
      </c>
      <c r="AD40" s="741"/>
    </row>
    <row r="41" spans="1:30" ht="27" customHeight="1">
      <c r="A41" s="740"/>
      <c r="B41" s="793">
        <v>24</v>
      </c>
      <c r="C41" s="738" t="s">
        <v>2150</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2151</v>
      </c>
      <c r="P41" s="847" t="s">
        <v>2138</v>
      </c>
      <c r="Q41" s="847" t="s">
        <v>2151</v>
      </c>
      <c r="R41" s="847" t="s">
        <v>2138</v>
      </c>
      <c r="S41" s="847"/>
      <c r="T41" s="738" t="s">
        <v>2152</v>
      </c>
      <c r="U41" s="738" t="s">
        <v>2152</v>
      </c>
      <c r="V41" s="738" t="s">
        <v>2152</v>
      </c>
      <c r="W41" s="738" t="s">
        <v>2152</v>
      </c>
      <c r="X41" s="738"/>
      <c r="Y41" s="889"/>
      <c r="Z41" s="741" t="s">
        <v>2153</v>
      </c>
      <c r="AA41" s="741" t="s">
        <v>2153</v>
      </c>
      <c r="AB41" s="741" t="s">
        <v>2153</v>
      </c>
      <c r="AC41" s="741" t="s">
        <v>2153</v>
      </c>
      <c r="AD41" s="741"/>
    </row>
    <row r="42" spans="1:30" ht="27" customHeight="1">
      <c r="A42" s="740"/>
      <c r="B42" s="793">
        <v>25</v>
      </c>
      <c r="C42" s="738" t="s">
        <v>2154</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2155</v>
      </c>
      <c r="P42" s="847" t="s">
        <v>2141</v>
      </c>
      <c r="Q42" s="847" t="s">
        <v>2155</v>
      </c>
      <c r="R42" s="847" t="s">
        <v>2141</v>
      </c>
      <c r="S42" s="847"/>
      <c r="T42" s="738" t="s">
        <v>2156</v>
      </c>
      <c r="U42" s="738" t="s">
        <v>2156</v>
      </c>
      <c r="V42" s="738" t="s">
        <v>2156</v>
      </c>
      <c r="W42" s="738" t="s">
        <v>2156</v>
      </c>
      <c r="X42" s="738"/>
      <c r="Y42" s="889"/>
      <c r="Z42" s="741" t="s">
        <v>2157</v>
      </c>
      <c r="AA42" s="741" t="s">
        <v>2157</v>
      </c>
      <c r="AB42" s="741" t="s">
        <v>2157</v>
      </c>
      <c r="AC42" s="741" t="s">
        <v>2157</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2158</v>
      </c>
      <c r="P43" s="847" t="s">
        <v>797</v>
      </c>
      <c r="Q43" s="847" t="s">
        <v>2158</v>
      </c>
      <c r="R43" s="847" t="s">
        <v>797</v>
      </c>
      <c r="S43" s="847"/>
      <c r="T43" s="738" t="s">
        <v>2159</v>
      </c>
      <c r="U43" s="738" t="s">
        <v>2159</v>
      </c>
      <c r="V43" s="738" t="s">
        <v>2159</v>
      </c>
      <c r="W43" s="738" t="s">
        <v>2159</v>
      </c>
      <c r="X43" s="738"/>
      <c r="Y43" s="889"/>
      <c r="Z43" s="741" t="s">
        <v>2160</v>
      </c>
      <c r="AA43" s="741" t="s">
        <v>2160</v>
      </c>
      <c r="AB43" s="741" t="s">
        <v>2160</v>
      </c>
      <c r="AC43" s="741" t="s">
        <v>2160</v>
      </c>
      <c r="AD43" s="741"/>
    </row>
    <row r="44" spans="1:30" ht="27" customHeight="1">
      <c r="A44" s="740"/>
      <c r="B44" s="793">
        <v>27</v>
      </c>
      <c r="C44" s="738" t="s">
        <v>2161</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2162</v>
      </c>
      <c r="P44" s="847" t="s">
        <v>2163</v>
      </c>
      <c r="Q44" s="847" t="s">
        <v>2162</v>
      </c>
      <c r="R44" s="847" t="s">
        <v>2163</v>
      </c>
      <c r="S44" s="847"/>
      <c r="T44" s="738" t="s">
        <v>2152</v>
      </c>
      <c r="U44" s="738" t="s">
        <v>2152</v>
      </c>
      <c r="V44" s="738" t="s">
        <v>2152</v>
      </c>
      <c r="W44" s="738" t="s">
        <v>2152</v>
      </c>
      <c r="X44" s="738"/>
      <c r="Y44" s="889"/>
      <c r="Z44" s="741" t="s">
        <v>2164</v>
      </c>
      <c r="AA44" s="741" t="s">
        <v>2164</v>
      </c>
      <c r="AB44" s="741" t="s">
        <v>2164</v>
      </c>
      <c r="AC44" s="741" t="s">
        <v>2164</v>
      </c>
      <c r="AD44" s="741"/>
    </row>
    <row r="45" spans="1:30" ht="27" customHeight="1">
      <c r="A45" s="740"/>
      <c r="B45" s="793">
        <v>28</v>
      </c>
      <c r="C45" s="738" t="s">
        <v>2165</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2166</v>
      </c>
      <c r="P45" s="847" t="s">
        <v>2167</v>
      </c>
      <c r="Q45" s="847" t="s">
        <v>2166</v>
      </c>
      <c r="R45" s="847" t="s">
        <v>2167</v>
      </c>
      <c r="S45" s="847"/>
      <c r="T45" s="738" t="s">
        <v>2156</v>
      </c>
      <c r="U45" s="738" t="s">
        <v>2156</v>
      </c>
      <c r="V45" s="738" t="s">
        <v>2156</v>
      </c>
      <c r="W45" s="738" t="s">
        <v>2156</v>
      </c>
      <c r="X45" s="738"/>
      <c r="Y45" s="889"/>
      <c r="Z45" s="741" t="s">
        <v>2168</v>
      </c>
      <c r="AA45" s="741" t="s">
        <v>2168</v>
      </c>
      <c r="AB45" s="741" t="s">
        <v>2168</v>
      </c>
      <c r="AC45" s="741" t="s">
        <v>2168</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2169</v>
      </c>
      <c r="P46" s="847" t="s">
        <v>2147</v>
      </c>
      <c r="Q46" s="847" t="s">
        <v>2169</v>
      </c>
      <c r="R46" s="847" t="s">
        <v>2147</v>
      </c>
      <c r="S46" s="847"/>
      <c r="T46" s="738" t="s">
        <v>2170</v>
      </c>
      <c r="U46" s="738" t="s">
        <v>2170</v>
      </c>
      <c r="V46" s="738" t="s">
        <v>2170</v>
      </c>
      <c r="W46" s="738" t="s">
        <v>2170</v>
      </c>
      <c r="X46" s="738"/>
      <c r="Y46" s="889"/>
      <c r="Z46" s="741" t="s">
        <v>2171</v>
      </c>
      <c r="AA46" s="741" t="s">
        <v>2172</v>
      </c>
      <c r="AB46" s="741" t="s">
        <v>2172</v>
      </c>
      <c r="AC46" s="741" t="s">
        <v>2172</v>
      </c>
      <c r="AD46" s="741"/>
    </row>
    <row r="47" spans="1:30" ht="54" customHeight="1">
      <c r="A47" s="740"/>
      <c r="B47" s="793">
        <v>30</v>
      </c>
      <c r="C47" s="738" t="s">
        <v>2173</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2174</v>
      </c>
      <c r="P47" s="847" t="s">
        <v>2151</v>
      </c>
      <c r="Q47" s="847" t="s">
        <v>2174</v>
      </c>
      <c r="R47" s="847" t="s">
        <v>2151</v>
      </c>
      <c r="S47" s="847"/>
      <c r="T47" s="738" t="s">
        <v>2175</v>
      </c>
      <c r="U47" s="738" t="s">
        <v>2175</v>
      </c>
      <c r="V47" s="738" t="s">
        <v>2175</v>
      </c>
      <c r="W47" s="738" t="s">
        <v>2175</v>
      </c>
      <c r="X47" s="738"/>
      <c r="Y47" s="889"/>
      <c r="Z47" s="741"/>
      <c r="AA47" s="744"/>
      <c r="AB47" s="744"/>
      <c r="AC47" s="744"/>
      <c r="AD47" s="741"/>
    </row>
    <row r="48" spans="1:30" ht="54" customHeight="1">
      <c r="A48" s="740"/>
      <c r="B48" s="793">
        <v>31</v>
      </c>
      <c r="C48" s="738">
        <v>16</v>
      </c>
      <c r="D48" s="857"/>
      <c r="E48" s="738"/>
      <c r="F48" s="738"/>
      <c r="G48" s="738"/>
      <c r="H48" s="785"/>
      <c r="I48" s="893" t="str">
        <f t="shared" si="1"/>
        <v>2.13</v>
      </c>
      <c r="J48" s="89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2.13</v>
      </c>
      <c r="M48" s="73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2158</v>
      </c>
      <c r="Q48" s="847" t="s">
        <v>2176</v>
      </c>
      <c r="R48" s="847" t="s">
        <v>2158</v>
      </c>
      <c r="S48" s="847"/>
      <c r="T48" s="738"/>
      <c r="U48" s="738" t="s">
        <v>2177</v>
      </c>
      <c r="V48" s="738" t="s">
        <v>2178</v>
      </c>
      <c r="W48" s="738" t="s">
        <v>2178</v>
      </c>
      <c r="X48" s="738"/>
      <c r="Y48" s="889"/>
      <c r="Z48" s="741"/>
      <c r="AA48" s="744" t="s">
        <v>2172</v>
      </c>
      <c r="AB48" s="744" t="s">
        <v>2172</v>
      </c>
      <c r="AC48" s="744" t="s">
        <v>2172</v>
      </c>
      <c r="AD48" s="741"/>
    </row>
    <row r="49" spans="1:30" ht="54" customHeight="1">
      <c r="A49" s="740"/>
      <c r="B49" s="793">
        <v>32</v>
      </c>
      <c r="C49" s="738" t="s">
        <v>2179</v>
      </c>
      <c r="D49" s="857"/>
      <c r="E49" s="738"/>
      <c r="F49" s="738"/>
      <c r="G49" s="738"/>
      <c r="H49" s="785"/>
      <c r="I49" s="893" t="str">
        <f t="shared" si="1"/>
        <v>2.13.1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2.13.1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2162</v>
      </c>
      <c r="Q49" s="847" t="s">
        <v>2180</v>
      </c>
      <c r="R49" s="847" t="s">
        <v>2162</v>
      </c>
      <c r="S49" s="847"/>
      <c r="T49" s="738"/>
      <c r="U49" s="738" t="s">
        <v>2175</v>
      </c>
      <c r="V49" s="738" t="s">
        <v>2175</v>
      </c>
      <c r="W49" s="738" t="s">
        <v>2175</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2.14</v>
      </c>
      <c r="J50" s="893"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2.14</v>
      </c>
      <c r="M50" s="73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2176</v>
      </c>
      <c r="P50" s="847" t="s">
        <v>2169</v>
      </c>
      <c r="Q50" s="847" t="s">
        <v>2181</v>
      </c>
      <c r="R50" s="847" t="s">
        <v>2169</v>
      </c>
      <c r="S50" s="847"/>
      <c r="T50" s="738" t="s">
        <v>2182</v>
      </c>
      <c r="U50" s="738" t="s">
        <v>2183</v>
      </c>
      <c r="V50" s="738" t="s">
        <v>2184</v>
      </c>
      <c r="W50" s="738" t="s">
        <v>2185</v>
      </c>
      <c r="X50" s="738"/>
      <c r="Y50" s="889"/>
      <c r="Z50" s="741" t="s">
        <v>2186</v>
      </c>
      <c r="AA50" s="744" t="s">
        <v>2187</v>
      </c>
      <c r="AB50" s="744" t="s">
        <v>2187</v>
      </c>
      <c r="AC50" s="744" t="s">
        <v>2187</v>
      </c>
      <c r="AD50" s="741"/>
    </row>
    <row r="51" spans="1:30" ht="27" customHeight="1">
      <c r="A51" s="740"/>
      <c r="B51" s="793">
        <v>34</v>
      </c>
      <c r="C51" s="738" t="s">
        <v>2188</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89</v>
      </c>
      <c r="P51" s="847"/>
      <c r="Q51" s="847"/>
      <c r="R51" s="847"/>
      <c r="S51" s="847"/>
      <c r="T51" s="738" t="s">
        <v>2189</v>
      </c>
      <c r="U51" s="738"/>
      <c r="V51" s="738"/>
      <c r="W51" s="738"/>
      <c r="X51" s="738"/>
      <c r="Y51" s="889"/>
      <c r="Z51" s="741"/>
      <c r="AA51" s="744"/>
      <c r="AB51" s="744"/>
      <c r="AC51" s="744"/>
      <c r="AD51" s="741"/>
    </row>
    <row r="52" spans="1:30" ht="36" customHeight="1">
      <c r="A52" s="740"/>
      <c r="B52" s="793">
        <v>35</v>
      </c>
      <c r="C52" s="738" t="s">
        <v>2081</v>
      </c>
      <c r="D52" s="857" t="s">
        <v>2081</v>
      </c>
      <c r="E52" s="738" t="s">
        <v>2081</v>
      </c>
      <c r="F52" s="738" t="s">
        <v>2081</v>
      </c>
      <c r="G52" s="738"/>
      <c r="H52" s="785"/>
      <c r="I52" s="893" t="str">
        <f t="shared" si="7"/>
        <v>3</v>
      </c>
      <c r="J52" s="893" t="str">
        <f t="shared" si="8"/>
        <v>Чистая прибыль, полученная от регулируемого вида деятельности в сфере горячего водоснабжения,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горячего водоснабжения, в том числе:</v>
      </c>
      <c r="N52" s="739" t="str">
        <f t="shared" si="12"/>
        <v>Указывается общая сумма чистой прибыли, полученной от регулируемого вида деятельности.</v>
      </c>
      <c r="O52" s="847" t="s">
        <v>90</v>
      </c>
      <c r="P52" s="847" t="s">
        <v>89</v>
      </c>
      <c r="Q52" s="847" t="s">
        <v>89</v>
      </c>
      <c r="R52" s="847" t="s">
        <v>89</v>
      </c>
      <c r="S52" s="847"/>
      <c r="T52" s="738" t="s">
        <v>2190</v>
      </c>
      <c r="U52" s="738" t="s">
        <v>2191</v>
      </c>
      <c r="V52" s="738" t="s">
        <v>2192</v>
      </c>
      <c r="W52" s="738" t="s">
        <v>2193</v>
      </c>
      <c r="X52" s="738"/>
      <c r="Y52" s="889"/>
      <c r="Z52" s="741" t="s">
        <v>801</v>
      </c>
      <c r="AA52" s="744" t="s">
        <v>801</v>
      </c>
      <c r="AB52" s="744" t="s">
        <v>801</v>
      </c>
      <c r="AC52" s="744" t="s">
        <v>801</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805</v>
      </c>
      <c r="P53" s="847" t="s">
        <v>461</v>
      </c>
      <c r="Q53" s="847" t="s">
        <v>461</v>
      </c>
      <c r="R53" s="847" t="s">
        <v>461</v>
      </c>
      <c r="S53" s="847"/>
      <c r="T53" s="738" t="s">
        <v>2194</v>
      </c>
      <c r="U53" s="738" t="s">
        <v>2194</v>
      </c>
      <c r="V53" s="738" t="s">
        <v>2194</v>
      </c>
      <c r="W53" s="738" t="s">
        <v>2194</v>
      </c>
      <c r="X53" s="738"/>
      <c r="Y53" s="889"/>
      <c r="Z53" s="741"/>
      <c r="AA53" s="744"/>
      <c r="AB53" s="741"/>
      <c r="AC53" s="741"/>
      <c r="AD53" s="741"/>
    </row>
    <row r="54" spans="1:30" ht="18" customHeight="1">
      <c r="A54" s="740"/>
      <c r="B54" s="793">
        <v>37</v>
      </c>
      <c r="C54" s="738" t="s">
        <v>2087</v>
      </c>
      <c r="D54" s="857" t="s">
        <v>2087</v>
      </c>
      <c r="E54" s="738" t="s">
        <v>2087</v>
      </c>
      <c r="F54" s="738" t="s">
        <v>2087</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117</v>
      </c>
      <c r="P54" s="847" t="s">
        <v>90</v>
      </c>
      <c r="Q54" s="847" t="s">
        <v>90</v>
      </c>
      <c r="R54" s="847" t="s">
        <v>90</v>
      </c>
      <c r="S54" s="847"/>
      <c r="T54" s="738" t="s">
        <v>803</v>
      </c>
      <c r="U54" s="738" t="s">
        <v>803</v>
      </c>
      <c r="V54" s="738" t="s">
        <v>803</v>
      </c>
      <c r="W54" s="738" t="s">
        <v>803</v>
      </c>
      <c r="X54" s="738"/>
      <c r="Y54" s="889"/>
      <c r="Z54" s="741" t="s">
        <v>804</v>
      </c>
      <c r="AA54" s="741" t="s">
        <v>804</v>
      </c>
      <c r="AB54" s="741" t="s">
        <v>804</v>
      </c>
      <c r="AC54" s="741" t="s">
        <v>804</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450</v>
      </c>
      <c r="P55" s="847" t="s">
        <v>805</v>
      </c>
      <c r="Q55" s="847" t="s">
        <v>805</v>
      </c>
      <c r="R55" s="847" t="s">
        <v>805</v>
      </c>
      <c r="S55" s="847"/>
      <c r="T55" s="738" t="s">
        <v>2195</v>
      </c>
      <c r="U55" s="738" t="s">
        <v>2196</v>
      </c>
      <c r="V55" s="738" t="s">
        <v>2196</v>
      </c>
      <c r="W55" s="738" t="s">
        <v>2196</v>
      </c>
      <c r="X55" s="738"/>
      <c r="Y55" s="889"/>
      <c r="Z55" s="741" t="s">
        <v>2197</v>
      </c>
      <c r="AA55" s="741" t="s">
        <v>2197</v>
      </c>
      <c r="AB55" s="741" t="s">
        <v>2197</v>
      </c>
      <c r="AC55" s="741" t="s">
        <v>2197</v>
      </c>
      <c r="AD55" s="741"/>
    </row>
    <row r="56" spans="1:30" ht="27" customHeight="1">
      <c r="A56" s="740"/>
      <c r="B56" s="793">
        <v>39</v>
      </c>
      <c r="C56" s="738" t="s">
        <v>1077</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1194</v>
      </c>
      <c r="P56" s="847" t="s">
        <v>808</v>
      </c>
      <c r="Q56" s="847" t="s">
        <v>808</v>
      </c>
      <c r="R56" s="847" t="s">
        <v>808</v>
      </c>
      <c r="S56" s="847"/>
      <c r="T56" s="738" t="s">
        <v>2198</v>
      </c>
      <c r="U56" s="738" t="s">
        <v>2199</v>
      </c>
      <c r="V56" s="738" t="s">
        <v>2199</v>
      </c>
      <c r="W56" s="738" t="s">
        <v>2199</v>
      </c>
      <c r="X56" s="738"/>
      <c r="Y56" s="889"/>
      <c r="Z56" s="741" t="s">
        <v>810</v>
      </c>
      <c r="AA56" s="741" t="s">
        <v>810</v>
      </c>
      <c r="AB56" s="741" t="s">
        <v>810</v>
      </c>
      <c r="AC56" s="741" t="s">
        <v>810</v>
      </c>
      <c r="AD56" s="741"/>
    </row>
    <row r="57" spans="1:30" ht="27" customHeight="1">
      <c r="A57" s="740"/>
      <c r="B57" s="793">
        <v>40</v>
      </c>
      <c r="C57" s="738" t="s">
        <v>1079</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2200</v>
      </c>
      <c r="P57" s="847" t="s">
        <v>811</v>
      </c>
      <c r="Q57" s="847" t="s">
        <v>811</v>
      </c>
      <c r="R57" s="847" t="s">
        <v>811</v>
      </c>
      <c r="S57" s="847"/>
      <c r="T57" s="738" t="s">
        <v>2201</v>
      </c>
      <c r="U57" s="738" t="s">
        <v>2202</v>
      </c>
      <c r="V57" s="738" t="s">
        <v>2202</v>
      </c>
      <c r="W57" s="738" t="s">
        <v>2202</v>
      </c>
      <c r="X57" s="738"/>
      <c r="Y57" s="889"/>
      <c r="Z57" s="741" t="s">
        <v>813</v>
      </c>
      <c r="AA57" s="741" t="s">
        <v>813</v>
      </c>
      <c r="AB57" s="741" t="s">
        <v>813</v>
      </c>
      <c r="AC57" s="741" t="s">
        <v>813</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934</v>
      </c>
      <c r="P58" s="847" t="s">
        <v>848</v>
      </c>
      <c r="Q58" s="847" t="s">
        <v>848</v>
      </c>
      <c r="R58" s="847" t="s">
        <v>848</v>
      </c>
      <c r="S58" s="847"/>
      <c r="T58" s="738" t="s">
        <v>2203</v>
      </c>
      <c r="U58" s="738" t="s">
        <v>2203</v>
      </c>
      <c r="V58" s="738" t="s">
        <v>2203</v>
      </c>
      <c r="W58" s="738" t="s">
        <v>2203</v>
      </c>
      <c r="X58" s="738"/>
      <c r="Y58" s="889"/>
      <c r="Z58" s="741"/>
      <c r="AA58" s="744"/>
      <c r="AB58" s="741"/>
      <c r="AC58" s="741"/>
      <c r="AD58" s="741"/>
    </row>
    <row r="59" spans="1:30" ht="36" customHeight="1">
      <c r="A59" s="740"/>
      <c r="B59" s="793">
        <v>42</v>
      </c>
      <c r="C59" s="738">
        <v>3</v>
      </c>
      <c r="D59" s="857" t="s">
        <v>2188</v>
      </c>
      <c r="E59" s="738" t="s">
        <v>2188</v>
      </c>
      <c r="F59" s="738" t="s">
        <v>2188</v>
      </c>
      <c r="G59" s="738"/>
      <c r="H59" s="785"/>
      <c r="I59" s="893" t="str">
        <f t="shared" si="7"/>
        <v>5</v>
      </c>
      <c r="J59" s="893" t="str">
        <f t="shared" si="8"/>
        <v>Валовая прибыль (убытки) от продажи товаров и услуг по регулируемым видам деятельности в сфере горячего водоснабжения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горячего водоснабжения</v>
      </c>
      <c r="N59" s="739" t="str">
        <f t="shared" si="12"/>
        <v/>
      </c>
      <c r="O59" s="847"/>
      <c r="P59" s="847" t="s">
        <v>117</v>
      </c>
      <c r="Q59" s="847" t="s">
        <v>117</v>
      </c>
      <c r="R59" s="847" t="s">
        <v>117</v>
      </c>
      <c r="S59" s="847"/>
      <c r="T59" s="738"/>
      <c r="U59" s="738" t="s">
        <v>2204</v>
      </c>
      <c r="V59" s="738" t="s">
        <v>2205</v>
      </c>
      <c r="W59" s="738" t="s">
        <v>2206</v>
      </c>
      <c r="X59" s="738"/>
      <c r="Y59" s="889"/>
      <c r="Z59" s="741"/>
      <c r="AA59" s="744"/>
      <c r="AB59" s="741"/>
      <c r="AC59" s="741"/>
      <c r="AD59" s="741"/>
    </row>
    <row r="60" spans="1:30" ht="81" customHeight="1">
      <c r="A60" s="740"/>
      <c r="B60" s="793">
        <v>43</v>
      </c>
      <c r="C60" s="738" t="s">
        <v>2207</v>
      </c>
      <c r="D60" s="857" t="s">
        <v>2207</v>
      </c>
      <c r="E60" s="738" t="s">
        <v>2207</v>
      </c>
      <c r="F60" s="738" t="s">
        <v>2207</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47" t="s">
        <v>91</v>
      </c>
      <c r="P60" s="847" t="s">
        <v>91</v>
      </c>
      <c r="Q60" s="847" t="s">
        <v>91</v>
      </c>
      <c r="R60" s="847" t="s">
        <v>91</v>
      </c>
      <c r="S60" s="847"/>
      <c r="T60" s="738" t="s">
        <v>817</v>
      </c>
      <c r="U60" s="738" t="s">
        <v>817</v>
      </c>
      <c r="V60" s="738" t="s">
        <v>817</v>
      </c>
      <c r="W60" s="738" t="s">
        <v>817</v>
      </c>
      <c r="X60" s="738"/>
      <c r="Y60" s="889"/>
      <c r="Z60" s="741" t="s">
        <v>2208</v>
      </c>
      <c r="AA60" s="744" t="s">
        <v>2209</v>
      </c>
      <c r="AB60" s="741" t="s">
        <v>2210</v>
      </c>
      <c r="AC60" s="741" t="s">
        <v>2209</v>
      </c>
      <c r="AD60" s="741"/>
    </row>
    <row r="61" spans="1:30" ht="9" customHeight="1">
      <c r="A61" s="740"/>
      <c r="B61" s="793">
        <v>44</v>
      </c>
      <c r="C61" s="738"/>
      <c r="D61" s="857" t="s">
        <v>2211</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92</v>
      </c>
      <c r="Q61" s="847"/>
      <c r="R61" s="847"/>
      <c r="S61" s="847"/>
      <c r="T61" s="738"/>
      <c r="U61" s="738" t="s">
        <v>2212</v>
      </c>
      <c r="V61" s="738"/>
      <c r="W61" s="738"/>
      <c r="X61" s="738"/>
      <c r="Y61" s="889"/>
      <c r="Z61" s="741"/>
      <c r="AA61" s="744"/>
      <c r="AB61" s="741"/>
      <c r="AC61" s="741"/>
      <c r="AD61" s="741"/>
    </row>
    <row r="62" spans="1:30" ht="9" customHeight="1">
      <c r="A62" s="740"/>
      <c r="B62" s="793">
        <v>45</v>
      </c>
      <c r="C62" s="738"/>
      <c r="D62" s="857" t="s">
        <v>2213</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132</v>
      </c>
      <c r="Q62" s="847"/>
      <c r="R62" s="847"/>
      <c r="S62" s="847"/>
      <c r="T62" s="738"/>
      <c r="U62" s="738" t="s">
        <v>2214</v>
      </c>
      <c r="V62" s="738"/>
      <c r="W62" s="738"/>
      <c r="X62" s="738"/>
      <c r="Y62" s="889"/>
      <c r="Z62" s="741"/>
      <c r="AA62" s="744"/>
      <c r="AB62" s="741"/>
      <c r="AC62" s="741"/>
      <c r="AD62" s="741"/>
    </row>
    <row r="63" spans="1:30" ht="18" customHeight="1">
      <c r="A63" s="740"/>
      <c r="B63" s="793">
        <v>46</v>
      </c>
      <c r="C63" s="738"/>
      <c r="D63" s="857" t="s">
        <v>2215</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136</v>
      </c>
      <c r="Q63" s="847"/>
      <c r="R63" s="847"/>
      <c r="S63" s="847"/>
      <c r="T63" s="738"/>
      <c r="U63" s="738" t="s">
        <v>2216</v>
      </c>
      <c r="V63" s="738"/>
      <c r="W63" s="738"/>
      <c r="X63" s="738"/>
      <c r="Y63" s="889"/>
      <c r="Z63" s="741"/>
      <c r="AA63" s="744"/>
      <c r="AB63" s="741"/>
      <c r="AC63" s="741"/>
      <c r="AD63" s="741"/>
    </row>
    <row r="64" spans="1:30" ht="18" customHeight="1">
      <c r="A64" s="740"/>
      <c r="B64" s="793">
        <v>47</v>
      </c>
      <c r="C64" s="738"/>
      <c r="D64" s="857" t="s">
        <v>2217</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128</v>
      </c>
      <c r="Q64" s="847"/>
      <c r="R64" s="847"/>
      <c r="S64" s="847"/>
      <c r="T64" s="738"/>
      <c r="U64" s="738" t="s">
        <v>2218</v>
      </c>
      <c r="V64" s="738"/>
      <c r="W64" s="738"/>
      <c r="X64" s="738"/>
      <c r="Y64" s="889"/>
      <c r="Z64" s="741"/>
      <c r="AA64" s="744" t="s">
        <v>2219</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2129</v>
      </c>
      <c r="Q65" s="847"/>
      <c r="R65" s="847"/>
      <c r="S65" s="847"/>
      <c r="T65" s="738"/>
      <c r="U65" s="738" t="s">
        <v>2220</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2133</v>
      </c>
      <c r="Q66" s="847"/>
      <c r="R66" s="847"/>
      <c r="S66" s="847"/>
      <c r="T66" s="738"/>
      <c r="U66" s="738" t="s">
        <v>2221</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2222</v>
      </c>
      <c r="Q67" s="847"/>
      <c r="R67" s="847"/>
      <c r="S67" s="847"/>
      <c r="T67" s="738"/>
      <c r="U67" s="738" t="s">
        <v>2223</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2224</v>
      </c>
      <c r="Q68" s="847"/>
      <c r="R68" s="847"/>
      <c r="S68" s="847"/>
      <c r="T68" s="738"/>
      <c r="U68" s="738" t="s">
        <v>2225</v>
      </c>
      <c r="V68" s="738"/>
      <c r="W68" s="738"/>
      <c r="X68" s="738"/>
      <c r="Y68" s="889"/>
      <c r="Z68" s="741"/>
      <c r="AA68" s="744"/>
      <c r="AB68" s="741"/>
      <c r="AC68" s="741"/>
      <c r="AD68" s="741"/>
    </row>
    <row r="69" spans="1:30" ht="9" customHeight="1">
      <c r="A69" s="740"/>
      <c r="B69" s="793">
        <v>52</v>
      </c>
      <c r="C69" s="738"/>
      <c r="D69" s="857" t="s">
        <v>2226</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138</v>
      </c>
      <c r="Q69" s="847"/>
      <c r="R69" s="847"/>
      <c r="S69" s="847"/>
      <c r="T69" s="738"/>
      <c r="U69" s="738" t="s">
        <v>2227</v>
      </c>
      <c r="V69" s="738"/>
      <c r="W69" s="738"/>
      <c r="X69" s="738"/>
      <c r="Y69" s="889"/>
      <c r="Z69" s="741"/>
      <c r="AA69" s="744"/>
      <c r="AB69" s="741"/>
      <c r="AC69" s="741"/>
      <c r="AD69" s="741"/>
    </row>
    <row r="70" spans="1:30" ht="27" customHeight="1">
      <c r="A70" s="740"/>
      <c r="B70" s="793">
        <v>53</v>
      </c>
      <c r="C70" s="738"/>
      <c r="D70" s="857"/>
      <c r="E70" s="738" t="s">
        <v>2211</v>
      </c>
      <c r="F70" s="738"/>
      <c r="G70" s="738"/>
      <c r="H70" s="785"/>
      <c r="I70" s="893" t="str">
        <f t="shared" si="7"/>
        <v>7</v>
      </c>
      <c r="J70" s="893" t="str">
        <f t="shared" si="8"/>
        <v>Объём приобретаемой холодной воды, используемой для горячего водоснабжения</v>
      </c>
      <c r="K70" s="893">
        <f t="shared" si="9"/>
        <v>0</v>
      </c>
      <c r="L70" s="739" t="str">
        <f t="shared" si="10"/>
        <v>7</v>
      </c>
      <c r="M70" s="739" t="str">
        <f t="shared" si="11"/>
        <v>Объём приобретаемой холодной воды, используемой для горячего водоснабжения</v>
      </c>
      <c r="N70" s="739" t="str">
        <f t="shared" si="12"/>
        <v/>
      </c>
      <c r="O70" s="847"/>
      <c r="P70" s="847"/>
      <c r="Q70" s="847" t="s">
        <v>92</v>
      </c>
      <c r="R70" s="847"/>
      <c r="S70" s="847"/>
      <c r="T70" s="738"/>
      <c r="U70" s="738"/>
      <c r="V70" s="738" t="s">
        <v>2228</v>
      </c>
      <c r="W70" s="738"/>
      <c r="X70" s="738"/>
      <c r="Y70" s="889"/>
      <c r="Z70" s="741"/>
      <c r="AA70" s="744"/>
      <c r="AB70" s="741"/>
      <c r="AC70" s="741"/>
      <c r="AD70" s="741"/>
    </row>
    <row r="71" spans="1:30" ht="36" customHeight="1">
      <c r="A71" s="740"/>
      <c r="B71" s="793">
        <v>54</v>
      </c>
      <c r="C71" s="738"/>
      <c r="D71" s="857"/>
      <c r="E71" s="738" t="s">
        <v>2213</v>
      </c>
      <c r="F71" s="738"/>
      <c r="G71" s="738"/>
      <c r="H71" s="785"/>
      <c r="I71" s="893" t="str">
        <f t="shared" si="7"/>
        <v>8</v>
      </c>
      <c r="J71" s="893" t="str">
        <f t="shared" si="8"/>
        <v>Объём холодной воды, получаемой с применением собственных источников водозабора (скважин) и используемой для горячего водоснабжения</v>
      </c>
      <c r="K71" s="893">
        <f t="shared" si="9"/>
        <v>0</v>
      </c>
      <c r="L71" s="739" t="str">
        <f t="shared" si="10"/>
        <v>8</v>
      </c>
      <c r="M71" s="739" t="str">
        <f t="shared" si="11"/>
        <v>Объём холодной воды, получаемой с применением собственных источников водозабора (скважин) и используемой для горячего водоснабжения</v>
      </c>
      <c r="N71" s="739" t="str">
        <f t="shared" si="12"/>
        <v/>
      </c>
      <c r="O71" s="847"/>
      <c r="P71" s="847"/>
      <c r="Q71" s="847" t="s">
        <v>132</v>
      </c>
      <c r="R71" s="847"/>
      <c r="S71" s="847"/>
      <c r="T71" s="738"/>
      <c r="U71" s="738"/>
      <c r="V71" s="738" t="s">
        <v>2229</v>
      </c>
      <c r="W71" s="738"/>
      <c r="X71" s="738"/>
      <c r="Y71" s="889"/>
      <c r="Z71" s="741"/>
      <c r="AA71" s="744"/>
      <c r="AB71" s="741"/>
      <c r="AC71" s="741"/>
      <c r="AD71" s="741"/>
    </row>
    <row r="72" spans="1:30" ht="27" customHeight="1">
      <c r="A72" s="740"/>
      <c r="B72" s="793">
        <v>55</v>
      </c>
      <c r="C72" s="738"/>
      <c r="D72" s="857"/>
      <c r="E72" s="738" t="s">
        <v>2215</v>
      </c>
      <c r="F72" s="738"/>
      <c r="G72" s="738"/>
      <c r="H72" s="785"/>
      <c r="I72" s="893" t="str">
        <f t="shared" si="7"/>
        <v>9</v>
      </c>
      <c r="J72" s="893" t="str">
        <f t="shared" si="8"/>
        <v>Объём приобретаемой тепловой энергии (мощности), используемой для горячего водоснабжения</v>
      </c>
      <c r="K72" s="893">
        <f t="shared" si="9"/>
        <v>0</v>
      </c>
      <c r="L72" s="739" t="str">
        <f t="shared" si="10"/>
        <v>9</v>
      </c>
      <c r="M72" s="739" t="str">
        <f t="shared" si="11"/>
        <v>Объём приобретаемой тепловой энергии (мощности), используемой для горячего водоснабжения</v>
      </c>
      <c r="N72" s="739" t="str">
        <f t="shared" si="12"/>
        <v/>
      </c>
      <c r="O72" s="847"/>
      <c r="P72" s="847"/>
      <c r="Q72" s="847" t="s">
        <v>136</v>
      </c>
      <c r="R72" s="847"/>
      <c r="S72" s="847"/>
      <c r="T72" s="738"/>
      <c r="U72" s="738"/>
      <c r="V72" s="738" t="s">
        <v>2230</v>
      </c>
      <c r="W72" s="738"/>
      <c r="X72" s="738"/>
      <c r="Y72" s="889"/>
      <c r="Z72" s="741"/>
      <c r="AA72" s="744"/>
      <c r="AB72" s="741"/>
      <c r="AC72" s="741"/>
      <c r="AD72" s="741"/>
    </row>
    <row r="73" spans="1:30" ht="36" customHeight="1">
      <c r="A73" s="740"/>
      <c r="B73" s="793">
        <v>56</v>
      </c>
      <c r="C73" s="738"/>
      <c r="D73" s="857"/>
      <c r="E73" s="738" t="s">
        <v>2217</v>
      </c>
      <c r="F73" s="738"/>
      <c r="G73" s="738"/>
      <c r="H73" s="785"/>
      <c r="I73" s="893" t="str">
        <f t="shared" si="7"/>
        <v>10</v>
      </c>
      <c r="J73" s="893" t="str">
        <f t="shared" si="8"/>
        <v>Объём тепловой энергии, производимой с применением собственных источников и используемой для горячего водоснабжения</v>
      </c>
      <c r="K73" s="893">
        <f t="shared" si="9"/>
        <v>0</v>
      </c>
      <c r="L73" s="739" t="str">
        <f t="shared" si="10"/>
        <v>10</v>
      </c>
      <c r="M73" s="739" t="str">
        <f t="shared" si="11"/>
        <v>Объём тепловой энергии, производимой с применением собственных источников и используемой для горячего водоснабжения</v>
      </c>
      <c r="N73" s="739" t="str">
        <f t="shared" si="12"/>
        <v/>
      </c>
      <c r="O73" s="847"/>
      <c r="P73" s="847"/>
      <c r="Q73" s="847" t="s">
        <v>128</v>
      </c>
      <c r="R73" s="847"/>
      <c r="S73" s="847"/>
      <c r="T73" s="738"/>
      <c r="U73" s="738"/>
      <c r="V73" s="738" t="s">
        <v>2231</v>
      </c>
      <c r="W73" s="738"/>
      <c r="X73" s="738"/>
      <c r="Y73" s="889"/>
      <c r="Z73" s="741"/>
      <c r="AA73" s="744"/>
      <c r="AB73" s="741"/>
      <c r="AC73" s="741"/>
      <c r="AD73" s="741"/>
    </row>
    <row r="74" spans="1:30" ht="18" customHeight="1">
      <c r="A74" s="740"/>
      <c r="B74" s="793">
        <v>57</v>
      </c>
      <c r="C74" s="738"/>
      <c r="D74" s="857"/>
      <c r="E74" s="738" t="s">
        <v>2226</v>
      </c>
      <c r="F74" s="738"/>
      <c r="G74" s="738"/>
      <c r="H74" s="785"/>
      <c r="I74" s="893" t="str">
        <f t="shared" si="7"/>
        <v>11</v>
      </c>
      <c r="J74" s="893" t="str">
        <f t="shared" si="8"/>
        <v>Потери горячей воды в сетях (процентов)</v>
      </c>
      <c r="K74" s="893">
        <f t="shared" si="9"/>
        <v>0</v>
      </c>
      <c r="L74" s="739" t="str">
        <f t="shared" si="10"/>
        <v>11</v>
      </c>
      <c r="M74" s="739" t="str">
        <f t="shared" si="11"/>
        <v>Потери горячей воды в сетях (процентов)</v>
      </c>
      <c r="N74" s="739" t="str">
        <f t="shared" si="12"/>
        <v/>
      </c>
      <c r="O74" s="847"/>
      <c r="P74" s="847"/>
      <c r="Q74" s="847" t="s">
        <v>138</v>
      </c>
      <c r="R74" s="847"/>
      <c r="S74" s="847"/>
      <c r="T74" s="738"/>
      <c r="U74" s="738"/>
      <c r="V74" s="738" t="s">
        <v>2232</v>
      </c>
      <c r="W74" s="738"/>
      <c r="X74" s="738"/>
      <c r="Y74" s="889"/>
      <c r="Z74" s="741"/>
      <c r="AA74" s="744"/>
      <c r="AB74" s="741"/>
      <c r="AC74" s="741"/>
      <c r="AD74" s="741"/>
    </row>
    <row r="75" spans="1:30" ht="18" customHeight="1">
      <c r="A75" s="740"/>
      <c r="B75" s="793">
        <v>58</v>
      </c>
      <c r="C75" s="738"/>
      <c r="D75" s="857"/>
      <c r="E75" s="738"/>
      <c r="F75" s="738" t="s">
        <v>2211</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92</v>
      </c>
      <c r="S75" s="847"/>
      <c r="T75" s="738"/>
      <c r="U75" s="738"/>
      <c r="V75" s="738"/>
      <c r="W75" s="738" t="s">
        <v>2233</v>
      </c>
      <c r="X75" s="738"/>
      <c r="Y75" s="889"/>
      <c r="Z75" s="741"/>
      <c r="AA75" s="744"/>
      <c r="AB75" s="741"/>
      <c r="AC75" s="741"/>
      <c r="AD75" s="741"/>
    </row>
    <row r="76" spans="1:30" ht="36" customHeight="1">
      <c r="A76" s="740"/>
      <c r="B76" s="793">
        <v>59</v>
      </c>
      <c r="C76" s="738"/>
      <c r="D76" s="857"/>
      <c r="E76" s="738"/>
      <c r="F76" s="738" t="s">
        <v>2213</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132</v>
      </c>
      <c r="S76" s="847"/>
      <c r="T76" s="738"/>
      <c r="U76" s="738"/>
      <c r="V76" s="738"/>
      <c r="W76" s="738" t="s">
        <v>2234</v>
      </c>
      <c r="X76" s="738"/>
      <c r="Y76" s="889"/>
      <c r="Z76" s="741"/>
      <c r="AA76" s="744"/>
      <c r="AB76" s="741"/>
      <c r="AC76" s="741"/>
      <c r="AD76" s="741"/>
    </row>
    <row r="77" spans="1:30" ht="18" customHeight="1">
      <c r="A77" s="740"/>
      <c r="B77" s="793">
        <v>60</v>
      </c>
      <c r="C77" s="738"/>
      <c r="D77" s="857"/>
      <c r="E77" s="738"/>
      <c r="F77" s="738" t="s">
        <v>2215</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136</v>
      </c>
      <c r="S77" s="847"/>
      <c r="T77" s="738"/>
      <c r="U77" s="738"/>
      <c r="V77" s="738"/>
      <c r="W77" s="738" t="s">
        <v>2235</v>
      </c>
      <c r="X77" s="738"/>
      <c r="Y77" s="889"/>
      <c r="Z77" s="741"/>
      <c r="AA77" s="744"/>
      <c r="AB77" s="741"/>
      <c r="AC77" s="741"/>
      <c r="AD77" s="741"/>
    </row>
    <row r="78" spans="1:30" ht="72" customHeight="1">
      <c r="A78" s="740"/>
      <c r="B78" s="793">
        <v>61</v>
      </c>
      <c r="C78" s="738" t="s">
        <v>2211</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92</v>
      </c>
      <c r="P78" s="847"/>
      <c r="Q78" s="847"/>
      <c r="R78" s="847"/>
      <c r="S78" s="847"/>
      <c r="T78" s="738" t="s">
        <v>2236</v>
      </c>
      <c r="U78" s="738"/>
      <c r="V78" s="738"/>
      <c r="W78" s="738"/>
      <c r="X78" s="738"/>
      <c r="Y78" s="889"/>
      <c r="Z78" s="741" t="s">
        <v>2237</v>
      </c>
      <c r="AA78" s="744"/>
      <c r="AB78" s="741"/>
      <c r="AC78" s="741"/>
      <c r="AD78" s="741"/>
    </row>
    <row r="79" spans="1:30" ht="36" customHeight="1">
      <c r="A79" s="740"/>
      <c r="B79" s="793">
        <v>62</v>
      </c>
      <c r="C79" s="738" t="s">
        <v>2213</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132</v>
      </c>
      <c r="P79" s="847"/>
      <c r="Q79" s="847"/>
      <c r="R79" s="847"/>
      <c r="S79" s="847"/>
      <c r="T79" s="738" t="s">
        <v>2238</v>
      </c>
      <c r="U79" s="738"/>
      <c r="V79" s="738"/>
      <c r="W79" s="738"/>
      <c r="X79" s="738"/>
      <c r="Y79" s="889"/>
      <c r="Z79" s="741" t="s">
        <v>2239</v>
      </c>
      <c r="AA79" s="744"/>
      <c r="AB79" s="741"/>
      <c r="AC79" s="741"/>
      <c r="AD79" s="741"/>
    </row>
    <row r="80" spans="1:30" ht="45" customHeight="1">
      <c r="A80" s="740"/>
      <c r="B80" s="793">
        <v>63</v>
      </c>
      <c r="C80" s="738" t="s">
        <v>2215</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136</v>
      </c>
      <c r="P80" s="847"/>
      <c r="Q80" s="847"/>
      <c r="R80" s="847"/>
      <c r="S80" s="847"/>
      <c r="T80" s="738" t="s">
        <v>2240</v>
      </c>
      <c r="U80" s="738"/>
      <c r="V80" s="738"/>
      <c r="W80" s="738"/>
      <c r="X80" s="738"/>
      <c r="Y80" s="889"/>
      <c r="Z80" s="741" t="s">
        <v>2241</v>
      </c>
      <c r="AA80" s="744"/>
      <c r="AB80" s="741"/>
      <c r="AC80" s="741"/>
      <c r="AD80" s="741"/>
    </row>
    <row r="81" spans="1:30" ht="36" customHeight="1">
      <c r="A81" s="740"/>
      <c r="B81" s="793">
        <v>64</v>
      </c>
      <c r="C81" s="738" t="s">
        <v>2217</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2120</v>
      </c>
      <c r="P81" s="847"/>
      <c r="Q81" s="847"/>
      <c r="R81" s="847"/>
      <c r="S81" s="847"/>
      <c r="T81" s="738" t="s">
        <v>2242</v>
      </c>
      <c r="U81" s="738"/>
      <c r="V81" s="738"/>
      <c r="W81" s="738"/>
      <c r="X81" s="738"/>
      <c r="Y81" s="889"/>
      <c r="Z81" s="741" t="s">
        <v>2243</v>
      </c>
      <c r="AA81" s="744"/>
      <c r="AB81" s="741"/>
      <c r="AC81" s="741"/>
      <c r="AD81" s="741"/>
    </row>
    <row r="82" spans="1:30" ht="90" customHeight="1">
      <c r="A82" s="740"/>
      <c r="B82" s="793">
        <v>65</v>
      </c>
      <c r="C82" s="738" t="s">
        <v>2226</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128</v>
      </c>
      <c r="P82" s="847"/>
      <c r="Q82" s="847"/>
      <c r="R82" s="847"/>
      <c r="S82" s="847"/>
      <c r="T82" s="738" t="s">
        <v>2244</v>
      </c>
      <c r="U82" s="738"/>
      <c r="V82" s="738"/>
      <c r="W82" s="738"/>
      <c r="X82" s="738"/>
      <c r="Y82" s="889"/>
      <c r="Z82" s="741" t="s">
        <v>2245</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2129</v>
      </c>
      <c r="P83" s="847"/>
      <c r="Q83" s="847"/>
      <c r="R83" s="847"/>
      <c r="S83" s="847"/>
      <c r="T83" s="738" t="s">
        <v>2246</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2247</v>
      </c>
      <c r="P84" s="847"/>
      <c r="Q84" s="847"/>
      <c r="R84" s="847"/>
      <c r="S84" s="847"/>
      <c r="T84" s="738" t="s">
        <v>2248</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2133</v>
      </c>
      <c r="P85" s="847"/>
      <c r="Q85" s="847"/>
      <c r="R85" s="847"/>
      <c r="S85" s="847"/>
      <c r="T85" s="738" t="s">
        <v>2249</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2250</v>
      </c>
      <c r="P86" s="847"/>
      <c r="Q86" s="847"/>
      <c r="R86" s="847"/>
      <c r="S86" s="847"/>
      <c r="T86" s="738" t="s">
        <v>2251</v>
      </c>
      <c r="U86" s="738"/>
      <c r="V86" s="738"/>
      <c r="W86" s="738"/>
      <c r="X86" s="738"/>
      <c r="Y86" s="889"/>
      <c r="Z86" s="741"/>
      <c r="AA86" s="744"/>
      <c r="AB86" s="741"/>
      <c r="AC86" s="741"/>
      <c r="AD86" s="741"/>
    </row>
    <row r="87" spans="1:30" ht="36" customHeight="1">
      <c r="A87" s="740"/>
      <c r="B87" s="793">
        <v>70</v>
      </c>
      <c r="C87" s="738" t="s">
        <v>2252</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138</v>
      </c>
      <c r="P87" s="847"/>
      <c r="Q87" s="847"/>
      <c r="R87" s="847"/>
      <c r="S87" s="847"/>
      <c r="T87" s="738" t="s">
        <v>2253</v>
      </c>
      <c r="U87" s="738"/>
      <c r="V87" s="738"/>
      <c r="W87" s="738"/>
      <c r="X87" s="738"/>
      <c r="Y87" s="889"/>
      <c r="Z87" s="741"/>
      <c r="AA87" s="744"/>
      <c r="AB87" s="741"/>
      <c r="AC87" s="741"/>
      <c r="AD87" s="741"/>
    </row>
    <row r="88" spans="1:30" ht="18" customHeight="1">
      <c r="A88" s="740"/>
      <c r="B88" s="793">
        <v>71</v>
      </c>
      <c r="C88" s="738" t="s">
        <v>2254</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183</v>
      </c>
      <c r="P88" s="847"/>
      <c r="Q88" s="847"/>
      <c r="R88" s="847"/>
      <c r="S88" s="847"/>
      <c r="T88" s="738" t="s">
        <v>2255</v>
      </c>
      <c r="U88" s="738"/>
      <c r="V88" s="738"/>
      <c r="W88" s="738"/>
      <c r="X88" s="738"/>
      <c r="Y88" s="889"/>
      <c r="Z88" s="741"/>
      <c r="AA88" s="744"/>
      <c r="AB88" s="741"/>
      <c r="AC88" s="741"/>
      <c r="AD88" s="741"/>
    </row>
    <row r="89" spans="1:30" ht="18" customHeight="1">
      <c r="A89" s="740"/>
      <c r="B89" s="793">
        <v>72</v>
      </c>
      <c r="C89" s="738" t="s">
        <v>2256</v>
      </c>
      <c r="D89" s="857" t="s">
        <v>2252</v>
      </c>
      <c r="E89" s="738" t="s">
        <v>2252</v>
      </c>
      <c r="F89" s="738" t="s">
        <v>2217</v>
      </c>
      <c r="G89" s="738"/>
      <c r="H89" s="785"/>
      <c r="I89" s="893" t="str">
        <f t="shared" si="13"/>
        <v>12</v>
      </c>
      <c r="J89" s="893" t="str">
        <f t="shared" si="14"/>
        <v>Среднесписочная численность основного производственного персонала</v>
      </c>
      <c r="K89" s="893">
        <f t="shared" si="15"/>
        <v>0</v>
      </c>
      <c r="L89" s="739" t="str">
        <f t="shared" si="16"/>
        <v>12</v>
      </c>
      <c r="M89" s="739" t="str">
        <f t="shared" si="17"/>
        <v>Среднесписочная численность основного производственного персонала</v>
      </c>
      <c r="N89" s="739" t="str">
        <f t="shared" si="18"/>
        <v/>
      </c>
      <c r="O89" s="847" t="s">
        <v>184</v>
      </c>
      <c r="P89" s="847" t="s">
        <v>183</v>
      </c>
      <c r="Q89" s="847" t="s">
        <v>183</v>
      </c>
      <c r="R89" s="847" t="s">
        <v>128</v>
      </c>
      <c r="S89" s="847"/>
      <c r="T89" s="738" t="s">
        <v>2257</v>
      </c>
      <c r="U89" s="738" t="s">
        <v>2257</v>
      </c>
      <c r="V89" s="738" t="s">
        <v>2257</v>
      </c>
      <c r="W89" s="738" t="s">
        <v>2257</v>
      </c>
      <c r="X89" s="738"/>
      <c r="Y89" s="889"/>
      <c r="Z89" s="741"/>
      <c r="AA89" s="744"/>
      <c r="AB89" s="741"/>
      <c r="AC89" s="741"/>
      <c r="AD89" s="741"/>
    </row>
    <row r="90" spans="1:30" ht="27" customHeight="1">
      <c r="A90" s="740"/>
      <c r="B90" s="793">
        <v>73</v>
      </c>
      <c r="C90" s="738" t="s">
        <v>2258</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105</v>
      </c>
      <c r="P90" s="847"/>
      <c r="Q90" s="847"/>
      <c r="R90" s="847"/>
      <c r="S90" s="847"/>
      <c r="T90" s="738" t="s">
        <v>2259</v>
      </c>
      <c r="U90" s="738"/>
      <c r="V90" s="738"/>
      <c r="W90" s="738"/>
      <c r="X90" s="738"/>
      <c r="Y90" s="889"/>
      <c r="Z90" s="741"/>
      <c r="AA90" s="744"/>
      <c r="AB90" s="741"/>
      <c r="AC90" s="741"/>
      <c r="AD90" s="741"/>
    </row>
    <row r="91" spans="1:30" ht="18" customHeight="1">
      <c r="A91" s="740"/>
      <c r="B91" s="793">
        <v>74</v>
      </c>
      <c r="C91" s="738"/>
      <c r="D91" s="857" t="s">
        <v>2254</v>
      </c>
      <c r="E91" s="738" t="s">
        <v>2254</v>
      </c>
      <c r="F91" s="738"/>
      <c r="G91" s="738"/>
      <c r="H91" s="785"/>
      <c r="I91" s="893" t="str">
        <f t="shared" si="13"/>
        <v>13</v>
      </c>
      <c r="J91" s="893" t="str">
        <f t="shared" si="14"/>
        <v>Удельный расход электрической энергии на подачу воды в сеть</v>
      </c>
      <c r="K91" s="893">
        <f t="shared" si="15"/>
        <v>0</v>
      </c>
      <c r="L91" s="739" t="str">
        <f t="shared" si="16"/>
        <v>13</v>
      </c>
      <c r="M91" s="739" t="str">
        <f t="shared" si="17"/>
        <v>Удельный расход электрической энергии на подачу воды в сеть</v>
      </c>
      <c r="N91" s="739" t="str">
        <f t="shared" si="18"/>
        <v/>
      </c>
      <c r="O91" s="847"/>
      <c r="P91" s="847" t="s">
        <v>184</v>
      </c>
      <c r="Q91" s="847" t="s">
        <v>184</v>
      </c>
      <c r="R91" s="847"/>
      <c r="S91" s="847"/>
      <c r="T91" s="738"/>
      <c r="U91" s="738" t="s">
        <v>2260</v>
      </c>
      <c r="V91" s="738" t="s">
        <v>2260</v>
      </c>
      <c r="W91" s="738"/>
      <c r="X91" s="738"/>
      <c r="Y91" s="889"/>
      <c r="Z91" s="741"/>
      <c r="AA91" s="744"/>
      <c r="AB91" s="741"/>
      <c r="AC91" s="741"/>
      <c r="AD91" s="741"/>
    </row>
    <row r="92" spans="1:30" ht="27" customHeight="1">
      <c r="A92" s="740"/>
      <c r="B92" s="793">
        <v>75</v>
      </c>
      <c r="C92" s="738"/>
      <c r="D92" s="857" t="s">
        <v>2256</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105</v>
      </c>
      <c r="Q92" s="847"/>
      <c r="R92" s="847"/>
      <c r="S92" s="847"/>
      <c r="T92" s="738"/>
      <c r="U92" s="738" t="s">
        <v>2261</v>
      </c>
      <c r="V92" s="738"/>
      <c r="W92" s="738"/>
      <c r="X92" s="738"/>
      <c r="Y92" s="889"/>
      <c r="Z92" s="741"/>
      <c r="AA92" s="744" t="s">
        <v>2262</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2161</v>
      </c>
      <c r="Q93" s="847"/>
      <c r="R93" s="847"/>
      <c r="S93" s="847"/>
      <c r="T93" s="738"/>
      <c r="U93" s="738" t="s">
        <v>2263</v>
      </c>
      <c r="V93" s="738"/>
      <c r="W93" s="738"/>
      <c r="X93" s="738"/>
      <c r="Y93" s="889"/>
      <c r="Z93" s="741"/>
      <c r="AA93" s="744" t="s">
        <v>2264</v>
      </c>
      <c r="AB93" s="741"/>
      <c r="AC93" s="741"/>
      <c r="AD93" s="741"/>
    </row>
    <row r="94" spans="1:30" ht="45" customHeight="1">
      <c r="A94" s="740"/>
      <c r="B94" s="793">
        <v>77</v>
      </c>
      <c r="C94" s="738"/>
      <c r="D94" s="857" t="s">
        <v>2258</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110</v>
      </c>
      <c r="Q94" s="847"/>
      <c r="R94" s="847"/>
      <c r="S94" s="847"/>
      <c r="T94" s="738"/>
      <c r="U94" s="738" t="s">
        <v>2265</v>
      </c>
      <c r="V94" s="738"/>
      <c r="W94" s="738"/>
      <c r="X94" s="738"/>
      <c r="Y94" s="889"/>
      <c r="Z94" s="741"/>
      <c r="AA94" s="744" t="s">
        <v>2266</v>
      </c>
      <c r="AB94" s="741"/>
      <c r="AC94" s="741"/>
      <c r="AD94" s="741"/>
    </row>
    <row r="95" spans="1:30" ht="99" customHeight="1">
      <c r="A95" s="740"/>
      <c r="B95" s="793">
        <v>78</v>
      </c>
      <c r="C95" s="738" t="s">
        <v>2267</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110</v>
      </c>
      <c r="P95" s="847"/>
      <c r="Q95" s="847"/>
      <c r="R95" s="847"/>
      <c r="S95" s="847"/>
      <c r="T95" s="738" t="s">
        <v>2268</v>
      </c>
      <c r="U95" s="738"/>
      <c r="V95" s="738"/>
      <c r="W95" s="738"/>
      <c r="X95" s="738"/>
      <c r="Y95" s="889"/>
      <c r="Z95" s="741"/>
      <c r="AA95" s="744"/>
      <c r="AB95" s="741"/>
      <c r="AC95" s="741"/>
      <c r="AD95" s="741"/>
    </row>
    <row r="96" spans="1:30" ht="99" customHeight="1">
      <c r="A96" s="740"/>
      <c r="B96" s="793">
        <v>79</v>
      </c>
      <c r="C96" s="738" t="s">
        <v>1203</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1521</v>
      </c>
      <c r="P96" s="847"/>
      <c r="Q96" s="847"/>
      <c r="R96" s="847"/>
      <c r="S96" s="847"/>
      <c r="T96" s="738" t="s">
        <v>2269</v>
      </c>
      <c r="U96" s="738"/>
      <c r="V96" s="738"/>
      <c r="W96" s="738"/>
      <c r="X96" s="738"/>
      <c r="Y96" s="889"/>
      <c r="Z96" s="741" t="s">
        <v>2270</v>
      </c>
      <c r="AA96" s="744"/>
      <c r="AB96" s="741"/>
      <c r="AC96" s="741"/>
      <c r="AD96" s="741"/>
    </row>
    <row r="97" spans="1:30" ht="63" customHeight="1">
      <c r="A97" s="740"/>
      <c r="B97" s="793">
        <v>80</v>
      </c>
      <c r="C97" s="738" t="s">
        <v>2271</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1532</v>
      </c>
      <c r="P97" s="847"/>
      <c r="Q97" s="847"/>
      <c r="R97" s="847"/>
      <c r="S97" s="847"/>
      <c r="T97" s="738" t="s">
        <v>2272</v>
      </c>
      <c r="U97" s="738"/>
      <c r="V97" s="738"/>
      <c r="W97" s="738"/>
      <c r="X97" s="738"/>
      <c r="Y97" s="889"/>
      <c r="Z97" s="741" t="s">
        <v>2273</v>
      </c>
      <c r="AA97" s="744"/>
      <c r="AB97" s="741"/>
      <c r="AC97" s="741"/>
      <c r="AD97" s="741"/>
    </row>
    <row r="98" spans="1:30" ht="63" customHeight="1">
      <c r="A98" s="740"/>
      <c r="B98" s="793">
        <v>81</v>
      </c>
      <c r="C98" s="738" t="s">
        <v>2274</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1546</v>
      </c>
      <c r="P98" s="847"/>
      <c r="Q98" s="847"/>
      <c r="R98" s="847"/>
      <c r="S98" s="847"/>
      <c r="T98" s="738" t="s">
        <v>2275</v>
      </c>
      <c r="U98" s="738"/>
      <c r="V98" s="738"/>
      <c r="W98" s="738"/>
      <c r="X98" s="738"/>
      <c r="Y98" s="889"/>
      <c r="Z98" s="741" t="s">
        <v>2273</v>
      </c>
      <c r="AA98" s="744"/>
      <c r="AB98" s="741"/>
      <c r="AC98" s="741"/>
      <c r="AD98" s="741"/>
    </row>
    <row r="99" spans="1:30" ht="90" customHeight="1">
      <c r="A99" s="740"/>
      <c r="B99" s="793">
        <v>82</v>
      </c>
      <c r="C99" s="738" t="s">
        <v>2276</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1558</v>
      </c>
      <c r="P99" s="847"/>
      <c r="Q99" s="847"/>
      <c r="R99" s="847"/>
      <c r="S99" s="847"/>
      <c r="T99" s="738" t="s">
        <v>2277</v>
      </c>
      <c r="U99" s="738"/>
      <c r="V99" s="738"/>
      <c r="W99" s="738"/>
      <c r="X99" s="738"/>
      <c r="Y99" s="889"/>
      <c r="Z99" s="741" t="s">
        <v>944</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2278</v>
      </c>
      <c r="P100" s="847"/>
      <c r="Q100" s="847"/>
      <c r="R100" s="847"/>
      <c r="S100" s="847"/>
      <c r="T100" s="738" t="s">
        <v>2279</v>
      </c>
      <c r="U100" s="738"/>
      <c r="V100" s="738"/>
      <c r="W100" s="738"/>
      <c r="X100" s="738"/>
      <c r="Y100" s="889"/>
      <c r="Z100" s="741" t="s">
        <v>944</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2280</v>
      </c>
      <c r="P101" s="847"/>
      <c r="Q101" s="847"/>
      <c r="R101" s="847"/>
      <c r="S101" s="847"/>
      <c r="T101" s="738" t="s">
        <v>2281</v>
      </c>
      <c r="U101" s="738"/>
      <c r="V101" s="738"/>
      <c r="W101" s="738"/>
      <c r="X101" s="738"/>
      <c r="Y101" s="889"/>
      <c r="Z101" s="741" t="s">
        <v>944</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1707</v>
      </c>
      <c r="B148" s="740"/>
      <c r="C148" s="738" t="s">
        <v>2282</v>
      </c>
      <c r="D148" s="738" t="s">
        <v>119</v>
      </c>
      <c r="E148" s="738" t="s">
        <v>1709</v>
      </c>
      <c r="F148" s="738" t="s">
        <v>2283</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43"/>
      <c r="O148" s="738"/>
      <c r="P148" s="739"/>
      <c r="Q148" s="739"/>
      <c r="R148" s="739"/>
      <c r="S148" s="738"/>
      <c r="T148" s="738" t="s">
        <v>2284</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39"/>
      <c r="W148" s="739"/>
      <c r="X148" s="738" t="s">
        <v>2285</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1711</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1714</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1719</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4419" hidden="1"/>
    <col min="2" max="2" width="11" style="14419" hidden="1" customWidth="1"/>
    <col min="3" max="3" width="10.5703125" style="14419" hidden="1"/>
    <col min="4" max="4" width="11.85546875" style="14419" hidden="1" customWidth="1"/>
    <col min="5" max="5" width="12.28515625" style="14419" hidden="1" customWidth="1"/>
    <col min="6" max="8" width="12.28515625" style="14423" hidden="1" customWidth="1"/>
    <col min="9" max="9" width="3.7109375" style="15935" customWidth="1"/>
    <col min="10" max="11" width="3.7109375" style="14425" customWidth="1"/>
    <col min="12" max="12" width="12.7109375" style="14426" customWidth="1"/>
    <col min="13" max="13" width="32" style="14427" customWidth="1"/>
    <col min="14" max="14" width="1.7109375" style="14427" customWidth="1"/>
    <col min="15" max="18" width="24.7109375" style="14427" customWidth="1"/>
    <col min="19" max="19" width="11.7109375" style="14427" customWidth="1"/>
    <col min="20" max="20" width="3.7109375" style="14427" customWidth="1"/>
    <col min="21" max="21" width="11.7109375" style="14427" customWidth="1"/>
    <col min="22" max="22" width="8.5703125" style="14427" customWidth="1"/>
    <col min="23" max="23" width="4.7109375" style="14427" customWidth="1"/>
    <col min="24" max="24" width="115.7109375" style="14427" customWidth="1"/>
    <col min="25" max="26" width="10.5703125" style="14421"/>
    <col min="27" max="27" width="11.140625" style="14421" customWidth="1"/>
    <col min="28" max="29" width="10.5703125" style="14421"/>
  </cols>
  <sheetData>
    <row r="1" spans="1:29" ht="14.25" hidden="1" customHeight="1">
      <c r="R1" s="244"/>
      <c r="S1" s="244"/>
    </row>
    <row r="2" spans="1:29" ht="14.25" hidden="1" customHeight="1">
      <c r="V2" s="244"/>
    </row>
    <row r="3" spans="1:29" ht="14.25" hidden="1" customHeight="1"/>
    <row r="4" spans="1:29" ht="14.25" customHeight="1">
      <c r="J4" s="291"/>
      <c r="K4" s="291"/>
      <c r="L4" s="1157"/>
      <c r="M4" s="279"/>
      <c r="N4" s="279"/>
      <c r="O4" s="416"/>
      <c r="P4" s="416"/>
      <c r="Q4" s="416"/>
      <c r="R4" s="416"/>
      <c r="S4" s="416"/>
      <c r="T4" s="416"/>
      <c r="U4" s="416"/>
      <c r="V4" s="416"/>
    </row>
    <row r="5" spans="1:29" ht="64.5" customHeight="1">
      <c r="J5" s="291"/>
      <c r="K5" s="291"/>
      <c r="L5" s="16379" t="s">
        <v>2286</v>
      </c>
      <c r="M5" s="16379"/>
      <c r="N5" s="16379"/>
      <c r="O5" s="16379"/>
      <c r="P5" s="16379"/>
      <c r="Q5" s="16379"/>
      <c r="R5" s="16379"/>
      <c r="S5" s="16379"/>
      <c r="T5" s="16379"/>
      <c r="U5" s="16379"/>
      <c r="V5" s="1125"/>
    </row>
    <row r="6" spans="1:29" ht="14.25" customHeight="1">
      <c r="J6" s="291"/>
      <c r="K6" s="291"/>
      <c r="L6" s="16380" t="str">
        <f>IF(org=0,"Не определено",org)</f>
        <v>АО "Мурманэнергосбыт"</v>
      </c>
      <c r="M6" s="16380"/>
      <c r="N6" s="16380"/>
      <c r="O6" s="16380"/>
      <c r="P6" s="16380"/>
      <c r="Q6" s="16380"/>
      <c r="R6" s="16380"/>
      <c r="S6" s="16380"/>
      <c r="T6" s="16380"/>
      <c r="U6" s="16380"/>
      <c r="V6" s="1125"/>
    </row>
    <row r="7" spans="1:29" ht="14.25" customHeight="1">
      <c r="J7" s="291"/>
      <c r="K7" s="291"/>
      <c r="L7" s="1157"/>
      <c r="M7" s="279"/>
      <c r="N7" s="279"/>
      <c r="O7" s="239"/>
      <c r="P7" s="239"/>
      <c r="Q7" s="239"/>
      <c r="R7" s="239"/>
      <c r="S7" s="239"/>
      <c r="T7" s="239"/>
      <c r="U7" s="239"/>
      <c r="V7" s="239"/>
      <c r="W7" s="416"/>
    </row>
    <row r="8" spans="1:29" s="14420" customFormat="1" ht="45" customHeight="1">
      <c r="A8" s="1245"/>
      <c r="B8" s="1245"/>
      <c r="C8" s="1245"/>
      <c r="D8" s="1245"/>
      <c r="E8" s="1245"/>
      <c r="F8" s="1245"/>
      <c r="G8" s="1245"/>
      <c r="H8" s="1245"/>
      <c r="L8" s="1158"/>
      <c r="M8" s="212" t="s">
        <v>38</v>
      </c>
      <c r="N8" s="221"/>
      <c r="O8" s="16117" t="str">
        <f>IF(TITLE_NAME_OR_PR_CHANGE="",IF(TITLE_NAME_OR_PR="","",TITLE_NAME_OR_PR),TITLE_NAME_OR_PR_CHANGE)</f>
        <v>Комитет по тарифному регулированию Мурманской области</v>
      </c>
      <c r="P8" s="16117"/>
      <c r="Q8" s="16117"/>
      <c r="R8" s="16117"/>
      <c r="S8" s="16117"/>
      <c r="T8" s="16117"/>
      <c r="U8" s="16117"/>
      <c r="V8" s="243"/>
      <c r="W8" s="243"/>
      <c r="X8" s="198"/>
      <c r="Y8" s="283"/>
      <c r="Z8" s="283"/>
      <c r="AA8" s="283"/>
      <c r="AB8" s="283"/>
      <c r="AC8" s="283"/>
    </row>
    <row r="9" spans="1:29" s="14420" customFormat="1" ht="22.5" customHeight="1">
      <c r="A9" s="1245"/>
      <c r="B9" s="1245"/>
      <c r="C9" s="1245"/>
      <c r="D9" s="1245"/>
      <c r="E9" s="1245"/>
      <c r="F9" s="1245"/>
      <c r="G9" s="1245"/>
      <c r="H9" s="1245"/>
      <c r="L9" s="1158"/>
      <c r="M9" s="212" t="s">
        <v>558</v>
      </c>
      <c r="N9" s="221"/>
      <c r="O9" s="16117">
        <f>IF(TITLE_DATE_CHANGE_PERIOD="",IF(TITLE_DATE_PR="","",TITLE_DATE_PR),TITLE_DATE_CHANGE_PERIOD)</f>
        <v>45379</v>
      </c>
      <c r="P9" s="16117"/>
      <c r="Q9" s="16117"/>
      <c r="R9" s="16117"/>
      <c r="S9" s="16117"/>
      <c r="T9" s="16117"/>
      <c r="U9" s="16117"/>
      <c r="V9" s="243"/>
      <c r="W9" s="243"/>
      <c r="X9" s="198"/>
      <c r="Y9" s="283"/>
      <c r="Z9" s="283"/>
      <c r="AA9" s="283"/>
      <c r="AB9" s="283"/>
      <c r="AC9" s="283"/>
    </row>
    <row r="10" spans="1:29" s="14420" customFormat="1" ht="22.5" customHeight="1">
      <c r="A10" s="1245"/>
      <c r="B10" s="1245"/>
      <c r="C10" s="1245"/>
      <c r="D10" s="1245"/>
      <c r="E10" s="1245"/>
      <c r="F10" s="1245"/>
      <c r="G10" s="1245"/>
      <c r="H10" s="1245"/>
      <c r="L10" s="1132"/>
      <c r="M10" s="212" t="s">
        <v>559</v>
      </c>
      <c r="N10" s="221"/>
      <c r="O10" s="16117" t="str">
        <f>IF(TITLE_NUMBER_PR_CHANGE="",IF(TITLE_NUMBER_PR="","",TITLE_NUMBER_PR),TITLE_NUMBER_PR_CHANGE)</f>
        <v>8/6</v>
      </c>
      <c r="P10" s="16117"/>
      <c r="Q10" s="16117"/>
      <c r="R10" s="16117"/>
      <c r="S10" s="16117"/>
      <c r="T10" s="16117"/>
      <c r="U10" s="16117"/>
      <c r="V10" s="243"/>
      <c r="W10" s="243"/>
      <c r="X10" s="198"/>
      <c r="Y10" s="283"/>
      <c r="Z10" s="283"/>
      <c r="AA10" s="283"/>
      <c r="AB10" s="283"/>
      <c r="AC10" s="283"/>
    </row>
    <row r="11" spans="1:29" s="14420" customFormat="1" ht="22.5" customHeight="1">
      <c r="A11" s="1245"/>
      <c r="B11" s="1245"/>
      <c r="C11" s="1245"/>
      <c r="D11" s="1245"/>
      <c r="E11" s="1245"/>
      <c r="F11" s="1245"/>
      <c r="G11" s="1245"/>
      <c r="H11" s="1245"/>
      <c r="L11" s="1132"/>
      <c r="M11" s="212" t="s">
        <v>40</v>
      </c>
      <c r="N11" s="221"/>
      <c r="O11" s="16117" t="str">
        <f>IF(TITLE_IST_PUB_CHANGE="",IF(TITLE_IST_PUB="","",TITLE_IST_PUB),TITLE_IST_PUB_CHANGE)</f>
        <v>https://npa.gov-murman.ru/bitrix/components/b1team/govmurman.element.file/download.php?ID=518761&amp;FID=765125</v>
      </c>
      <c r="P11" s="16117"/>
      <c r="Q11" s="16117"/>
      <c r="R11" s="16117"/>
      <c r="S11" s="16117"/>
      <c r="T11" s="16117"/>
      <c r="U11" s="16117"/>
      <c r="V11" s="243"/>
      <c r="W11" s="243"/>
      <c r="X11" s="198"/>
      <c r="Y11" s="283"/>
      <c r="Z11" s="283"/>
      <c r="AA11" s="283"/>
      <c r="AB11" s="283"/>
      <c r="AC11" s="283"/>
    </row>
    <row r="12" spans="1:29" s="14420" customFormat="1" ht="11.25" hidden="1" customHeight="1">
      <c r="A12" s="1245"/>
      <c r="B12" s="1245"/>
      <c r="C12" s="1245"/>
      <c r="D12" s="1245"/>
      <c r="E12" s="1245"/>
      <c r="F12" s="1245"/>
      <c r="G12" s="1245"/>
      <c r="H12" s="1245"/>
      <c r="L12" s="16381"/>
      <c r="M12" s="16381"/>
      <c r="N12" s="1167"/>
      <c r="O12" s="243"/>
      <c r="P12" s="243"/>
      <c r="Q12" s="243"/>
      <c r="R12" s="243"/>
      <c r="S12" s="243"/>
      <c r="T12" s="243"/>
      <c r="U12" s="243"/>
      <c r="V12" s="196" t="s">
        <v>562</v>
      </c>
      <c r="Y12" s="283"/>
      <c r="Z12" s="283"/>
      <c r="AA12" s="283"/>
      <c r="AB12" s="283"/>
      <c r="AC12" s="283"/>
    </row>
    <row r="13" spans="1:29" ht="14.25" customHeight="1">
      <c r="J13" s="291"/>
      <c r="K13" s="291"/>
      <c r="L13" s="1157"/>
      <c r="M13" s="279"/>
      <c r="N13" s="1126"/>
      <c r="O13" s="16118"/>
      <c r="P13" s="16118"/>
      <c r="Q13" s="16118"/>
      <c r="R13" s="16118"/>
      <c r="S13" s="16118"/>
      <c r="T13" s="16118"/>
      <c r="U13" s="16118"/>
      <c r="V13" s="16118"/>
    </row>
    <row r="14" spans="1:29" ht="14.25" customHeight="1">
      <c r="J14" s="291"/>
      <c r="K14" s="291"/>
      <c r="L14" s="15992" t="s">
        <v>437</v>
      </c>
      <c r="M14" s="15992"/>
      <c r="N14" s="15992"/>
      <c r="O14" s="15992"/>
      <c r="P14" s="15992"/>
      <c r="Q14" s="15992"/>
      <c r="R14" s="15992"/>
      <c r="S14" s="15992"/>
      <c r="T14" s="15992"/>
      <c r="U14" s="15992"/>
      <c r="V14" s="15992"/>
      <c r="W14" s="15992"/>
      <c r="X14" s="15992" t="s">
        <v>438</v>
      </c>
    </row>
    <row r="15" spans="1:29" ht="14.25" customHeight="1">
      <c r="J15" s="291"/>
      <c r="K15" s="291"/>
      <c r="L15" s="16132" t="s">
        <v>87</v>
      </c>
      <c r="M15" s="16084" t="s">
        <v>563</v>
      </c>
      <c r="N15" s="218"/>
      <c r="O15" s="16133" t="s">
        <v>2287</v>
      </c>
      <c r="P15" s="16134"/>
      <c r="Q15" s="16134"/>
      <c r="R15" s="16134"/>
      <c r="S15" s="16134"/>
      <c r="T15" s="16134"/>
      <c r="U15" s="16135"/>
      <c r="V15" s="16136" t="s">
        <v>565</v>
      </c>
      <c r="W15" s="16139" t="s">
        <v>1200</v>
      </c>
      <c r="X15" s="15992"/>
    </row>
    <row r="16" spans="1:29" ht="33.75" customHeight="1">
      <c r="J16" s="291"/>
      <c r="K16" s="291"/>
      <c r="L16" s="16132"/>
      <c r="M16" s="16084"/>
      <c r="N16" s="919"/>
      <c r="O16" s="16055" t="s">
        <v>568</v>
      </c>
      <c r="P16" s="16055" t="s">
        <v>569</v>
      </c>
      <c r="Q16" s="15963" t="s">
        <v>570</v>
      </c>
      <c r="R16" s="15962"/>
      <c r="S16" s="15963" t="s">
        <v>583</v>
      </c>
      <c r="T16" s="15968"/>
      <c r="U16" s="15962"/>
      <c r="V16" s="16137"/>
      <c r="W16" s="16140"/>
      <c r="X16" s="15992"/>
    </row>
    <row r="17" spans="1:29" ht="33.75" customHeight="1">
      <c r="A17" s="1247" t="s">
        <v>169</v>
      </c>
      <c r="B17" s="1247" t="s">
        <v>170</v>
      </c>
      <c r="C17" s="1247" t="s">
        <v>171</v>
      </c>
      <c r="D17" s="1247" t="s">
        <v>172</v>
      </c>
      <c r="E17" s="1247"/>
      <c r="J17" s="291"/>
      <c r="K17" s="291"/>
      <c r="L17" s="16132"/>
      <c r="M17" s="16084"/>
      <c r="N17" s="219"/>
      <c r="O17" s="16103"/>
      <c r="P17" s="16103"/>
      <c r="Q17" s="1104" t="s">
        <v>579</v>
      </c>
      <c r="R17" s="1104" t="s">
        <v>580</v>
      </c>
      <c r="S17" s="1172" t="s">
        <v>581</v>
      </c>
      <c r="T17" s="16092" t="s">
        <v>582</v>
      </c>
      <c r="U17" s="16094"/>
      <c r="V17" s="16138"/>
      <c r="W17" s="16141"/>
      <c r="X17" s="15992"/>
    </row>
    <row r="18" spans="1:29" s="14405" customFormat="1" ht="11.25" customHeight="1">
      <c r="A18" s="1247"/>
      <c r="B18" s="1247"/>
      <c r="C18" s="1247"/>
      <c r="D18" s="1247"/>
      <c r="E18" s="1247"/>
      <c r="F18" s="1239"/>
      <c r="G18" s="1239"/>
      <c r="H18" s="1239"/>
      <c r="I18" s="1128"/>
      <c r="J18" s="1129"/>
      <c r="K18" s="1136">
        <v>1</v>
      </c>
      <c r="L18" s="1159" t="s">
        <v>147</v>
      </c>
      <c r="M18" s="1137" t="s">
        <v>102</v>
      </c>
      <c r="N18" s="1127" t="str">
        <f ca="1">OFFSET(N18,0,-1)</f>
        <v>2</v>
      </c>
      <c r="O18" s="1169">
        <f ca="1">OFFSET(O18,0,-1)+1</f>
        <v>3</v>
      </c>
      <c r="P18" s="1169"/>
      <c r="Q18" s="1169">
        <f ca="1">OFFSET(Q18,0,-1)+1</f>
        <v>1</v>
      </c>
      <c r="R18" s="1169">
        <f ca="1">OFFSET(R18,0,-1)+1</f>
        <v>2</v>
      </c>
      <c r="S18" s="1169">
        <f ca="1">OFFSET(S18,0,-1)+1</f>
        <v>3</v>
      </c>
      <c r="T18" s="16131">
        <f ca="1">OFFSET(T18,0,-1)+1</f>
        <v>4</v>
      </c>
      <c r="U18" s="16131"/>
      <c r="V18" s="1169">
        <f ca="1">OFFSET(V18,0,-2)+1</f>
        <v>5</v>
      </c>
      <c r="W18" s="1127">
        <f ca="1">OFFSET(W18,0,-1)</f>
        <v>5</v>
      </c>
      <c r="X18" s="1169">
        <f ca="1">OFFSET(X18,0,-1)+1</f>
        <v>6</v>
      </c>
      <c r="Y18" s="418"/>
      <c r="Z18" s="418"/>
      <c r="AA18" s="418"/>
      <c r="AB18" s="418"/>
      <c r="AC18" s="418"/>
    </row>
    <row r="19" spans="1:29" ht="21" customHeight="1">
      <c r="A19" s="1240" t="s">
        <v>199</v>
      </c>
      <c r="B19" s="1240" t="s">
        <v>200</v>
      </c>
      <c r="C19" s="1240" t="s">
        <v>201</v>
      </c>
      <c r="D19" s="1240" t="s">
        <v>202</v>
      </c>
      <c r="E19" s="1240"/>
      <c r="F19" s="1242"/>
      <c r="G19" s="1242"/>
      <c r="H19" s="1242"/>
      <c r="I19" s="277"/>
      <c r="J19" s="276"/>
      <c r="K19" s="271"/>
      <c r="L19" s="1173">
        <f>INDEX(PT_DIFFERENTIATION_NUM_NTAR,MATCH(A19,PT_DIFFERENTIATION_NTAR_ID,0))</f>
        <v>0</v>
      </c>
      <c r="M19" s="215" t="s">
        <v>158</v>
      </c>
      <c r="N19" s="217"/>
      <c r="O19" s="16382" t="str">
        <f>INDEX(PT_DIFFERENTIATION_NTAR,MATCH(A19,PT_DIFFERENTIATION_NTAR_ID,0))</f>
        <v/>
      </c>
      <c r="P19" s="16382"/>
      <c r="Q19" s="16382"/>
      <c r="R19" s="16382"/>
      <c r="S19" s="16382"/>
      <c r="T19" s="16382"/>
      <c r="U19" s="16382"/>
      <c r="V19" s="16382"/>
      <c r="W19" s="16382"/>
      <c r="X19" s="1140" t="s">
        <v>533</v>
      </c>
      <c r="Z19" s="407"/>
      <c r="AA19" s="407" t="str">
        <f t="shared" ref="AA19:AA32" si="0">IF(M19="","",M19)</f>
        <v>Наименование тарифа</v>
      </c>
      <c r="AB19" s="407"/>
      <c r="AC19" s="407"/>
    </row>
    <row r="20" spans="1:29" ht="21" customHeight="1">
      <c r="A20" s="1240" t="s">
        <v>199</v>
      </c>
      <c r="B20" s="1240" t="s">
        <v>200</v>
      </c>
      <c r="C20" s="1240" t="s">
        <v>201</v>
      </c>
      <c r="D20" s="1240" t="s">
        <v>202</v>
      </c>
      <c r="E20" s="1240"/>
      <c r="F20" s="1242"/>
      <c r="G20" s="1242"/>
      <c r="H20" s="1242"/>
      <c r="I20" s="1170"/>
      <c r="J20" s="268"/>
      <c r="K20" s="269"/>
      <c r="L20" s="1173" t="str">
        <f>INDEX(PT_DIFFERENTIATION_NUM_TER,MATCH(B19,PT_DIFFERENTIATION_TER_ID,0))</f>
        <v>.</v>
      </c>
      <c r="M20" s="225" t="s">
        <v>534</v>
      </c>
      <c r="N20" s="217"/>
      <c r="O20" s="16382" t="str">
        <f>INDEX(PT_DIFFERENTIATION_TER,MATCH(B19,PT_DIFFERENTIATION_TER_ID,0))</f>
        <v/>
      </c>
      <c r="P20" s="16382"/>
      <c r="Q20" s="16382"/>
      <c r="R20" s="16382"/>
      <c r="S20" s="16382"/>
      <c r="T20" s="16382"/>
      <c r="U20" s="16382"/>
      <c r="V20" s="16382"/>
      <c r="W20" s="16382"/>
      <c r="X20" s="1140" t="s">
        <v>535</v>
      </c>
      <c r="Z20" s="407"/>
      <c r="AA20" s="407" t="str">
        <f t="shared" si="0"/>
        <v>Территория действия тарифа</v>
      </c>
      <c r="AB20" s="407"/>
      <c r="AC20" s="407"/>
    </row>
    <row r="21" spans="1:29" ht="22.5" customHeight="1">
      <c r="A21" s="1240" t="s">
        <v>199</v>
      </c>
      <c r="B21" s="1240" t="s">
        <v>200</v>
      </c>
      <c r="C21" s="1240" t="s">
        <v>201</v>
      </c>
      <c r="D21" s="1240" t="s">
        <v>202</v>
      </c>
      <c r="E21" s="1240"/>
      <c r="F21" s="1242"/>
      <c r="G21" s="1242"/>
      <c r="H21" s="1242"/>
      <c r="I21" s="270"/>
      <c r="J21" s="268"/>
      <c r="K21" s="269"/>
      <c r="L21" s="1173" t="str">
        <f>INDEX(PT_DIFFERENTIATION_NUM_CS,MATCH(C19,PT_DIFFERENTIATION_CS_ID,0))</f>
        <v>..</v>
      </c>
      <c r="M21" s="226" t="s">
        <v>536</v>
      </c>
      <c r="N21" s="217"/>
      <c r="O21" s="16382" t="str">
        <f>INDEX(PT_DIFFERENTIATION_CS,MATCH(C19,PT_DIFFERENTIATION_CS_ID,0))</f>
        <v/>
      </c>
      <c r="P21" s="16382"/>
      <c r="Q21" s="16382"/>
      <c r="R21" s="16382"/>
      <c r="S21" s="16382"/>
      <c r="T21" s="16382"/>
      <c r="U21" s="16382"/>
      <c r="V21" s="16382"/>
      <c r="W21" s="16382"/>
      <c r="X21" s="1140" t="s">
        <v>537</v>
      </c>
      <c r="Z21" s="407"/>
      <c r="AA21" s="407" t="str">
        <f t="shared" si="0"/>
        <v xml:space="preserve">Наименование системы теплоснабжения </v>
      </c>
      <c r="AB21" s="407"/>
      <c r="AC21" s="407"/>
    </row>
    <row r="22" spans="1:29" ht="21" customHeight="1">
      <c r="A22" s="1240" t="s">
        <v>199</v>
      </c>
      <c r="B22" s="1240" t="s">
        <v>200</v>
      </c>
      <c r="C22" s="1240" t="s">
        <v>201</v>
      </c>
      <c r="D22" s="1240" t="s">
        <v>202</v>
      </c>
      <c r="E22" s="1240"/>
      <c r="F22" s="1242"/>
      <c r="G22" s="1242"/>
      <c r="H22" s="1242"/>
      <c r="I22" s="270"/>
      <c r="J22" s="268"/>
      <c r="K22" s="269"/>
      <c r="L22" s="1173" t="str">
        <f>INDEX(PT_DIFFERENTIATION_NUM_IST_TE,MATCH(D19,PT_DIFFERENTIATION_IST_TE_ID,0))</f>
        <v>...</v>
      </c>
      <c r="M22" s="227" t="s">
        <v>538</v>
      </c>
      <c r="N22" s="217"/>
      <c r="O22" s="16382" t="str">
        <f>INDEX(PT_DIFFERENTIATION_IST_TE,MATCH(D19,PT_DIFFERENTIATION_IST_TE_ID,0))</f>
        <v/>
      </c>
      <c r="P22" s="16382"/>
      <c r="Q22" s="16382"/>
      <c r="R22" s="16382"/>
      <c r="S22" s="16382"/>
      <c r="T22" s="16382"/>
      <c r="U22" s="16382"/>
      <c r="V22" s="16382"/>
      <c r="W22" s="16382"/>
      <c r="X22" s="1140" t="s">
        <v>539</v>
      </c>
      <c r="Z22" s="407"/>
      <c r="AA22" s="407" t="str">
        <f t="shared" si="0"/>
        <v xml:space="preserve">Источник тепловой энергии  </v>
      </c>
      <c r="AB22" s="407"/>
      <c r="AC22" s="407"/>
    </row>
    <row r="23" spans="1:29" ht="94.5" customHeight="1">
      <c r="A23" s="1240" t="s">
        <v>199</v>
      </c>
      <c r="B23" s="1240" t="s">
        <v>200</v>
      </c>
      <c r="C23" s="1240" t="s">
        <v>201</v>
      </c>
      <c r="D23" s="1240" t="s">
        <v>202</v>
      </c>
      <c r="E23" s="1240"/>
      <c r="F23" s="15970" t="str">
        <f>L22&amp;".1"</f>
        <v>....1</v>
      </c>
      <c r="I23" s="16123">
        <v>1</v>
      </c>
      <c r="J23" s="1171"/>
      <c r="K23" s="272"/>
      <c r="L23" s="1173" t="str">
        <f>$F$23</f>
        <v>....1</v>
      </c>
      <c r="M23" s="202" t="s">
        <v>541</v>
      </c>
      <c r="N23" s="217"/>
      <c r="O23" s="16383"/>
      <c r="P23" s="16383"/>
      <c r="Q23" s="16383"/>
      <c r="R23" s="16383"/>
      <c r="S23" s="16383"/>
      <c r="T23" s="16383"/>
      <c r="U23" s="16383"/>
      <c r="V23" s="16383"/>
      <c r="W23" s="16383"/>
      <c r="X23" s="1140" t="s">
        <v>542</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0" t="s">
        <v>199</v>
      </c>
      <c r="B24" s="1240" t="s">
        <v>200</v>
      </c>
      <c r="C24" s="1240" t="s">
        <v>201</v>
      </c>
      <c r="D24" s="1240" t="s">
        <v>202</v>
      </c>
      <c r="E24" s="1240"/>
      <c r="F24" s="15970"/>
      <c r="G24" s="15970" t="str">
        <f>F23&amp;".1"</f>
        <v>....1.1</v>
      </c>
      <c r="I24" s="16123"/>
      <c r="J24" s="16123">
        <v>1</v>
      </c>
      <c r="K24" s="273"/>
      <c r="L24" s="1173" t="str">
        <f>$G$24</f>
        <v>....1.1</v>
      </c>
      <c r="M24" s="203" t="s">
        <v>544</v>
      </c>
      <c r="N24" s="217"/>
      <c r="O24" s="16384"/>
      <c r="P24" s="16385"/>
      <c r="Q24" s="16385"/>
      <c r="R24" s="16385"/>
      <c r="S24" s="16385"/>
      <c r="T24" s="16385"/>
      <c r="U24" s="16385"/>
      <c r="V24" s="16385"/>
      <c r="W24" s="16386"/>
      <c r="X24" s="1140" t="s">
        <v>545</v>
      </c>
      <c r="Z24" s="407"/>
      <c r="AA24" s="407" t="str">
        <f t="shared" si="0"/>
        <v>Группа потребителей</v>
      </c>
      <c r="AB24" s="407"/>
      <c r="AC24" s="407"/>
    </row>
    <row r="25" spans="1:29" ht="11.25" customHeight="1">
      <c r="A25" s="1240" t="s">
        <v>199</v>
      </c>
      <c r="B25" s="1240" t="s">
        <v>200</v>
      </c>
      <c r="C25" s="1240" t="s">
        <v>201</v>
      </c>
      <c r="D25" s="1240" t="s">
        <v>202</v>
      </c>
      <c r="E25" s="1240"/>
      <c r="F25" s="15970"/>
      <c r="G25" s="15970"/>
      <c r="H25" s="15970" t="str">
        <f>G24&amp;".1"</f>
        <v>....1.1.1</v>
      </c>
      <c r="I25" s="16123"/>
      <c r="J25" s="16123"/>
      <c r="K25" s="273">
        <v>1</v>
      </c>
      <c r="L25" s="1173" t="str">
        <f>$H$25</f>
        <v>....1.1.1</v>
      </c>
      <c r="M25" s="1141"/>
      <c r="N25" s="217"/>
      <c r="O25" s="649"/>
      <c r="P25" s="242"/>
      <c r="Q25" s="649"/>
      <c r="R25" s="1139"/>
      <c r="S25" s="16127"/>
      <c r="T25" s="15973" t="s">
        <v>66</v>
      </c>
      <c r="U25" s="16127"/>
      <c r="V25" s="15973" t="s">
        <v>56</v>
      </c>
      <c r="W25" s="242"/>
      <c r="X25" s="16119" t="s">
        <v>547</v>
      </c>
      <c r="Y25" s="418" t="e">
        <f ca="1">STRCHECKDATE(O26:W26)</f>
        <v>#NAME?</v>
      </c>
      <c r="Z25" s="407"/>
      <c r="AA25" s="407" t="str">
        <f t="shared" si="0"/>
        <v/>
      </c>
      <c r="AB25" s="407"/>
      <c r="AC25" s="407"/>
    </row>
    <row r="26" spans="1:29" ht="11.25" customHeight="1">
      <c r="A26" s="1240" t="s">
        <v>199</v>
      </c>
      <c r="B26" s="1240" t="s">
        <v>200</v>
      </c>
      <c r="C26" s="1240" t="s">
        <v>201</v>
      </c>
      <c r="D26" s="1240" t="s">
        <v>202</v>
      </c>
      <c r="E26" s="1240"/>
      <c r="F26" s="15970"/>
      <c r="G26" s="15970"/>
      <c r="H26" s="15970"/>
      <c r="I26" s="16123"/>
      <c r="J26" s="16123"/>
      <c r="K26" s="273"/>
      <c r="L26" s="1174"/>
      <c r="M26" s="217"/>
      <c r="N26" s="217"/>
      <c r="O26" s="242"/>
      <c r="P26" s="242"/>
      <c r="Q26" s="242"/>
      <c r="R26" s="245" t="str">
        <f>S25&amp;"-"&amp;U25</f>
        <v>-</v>
      </c>
      <c r="S26" s="16128"/>
      <c r="T26" s="15973"/>
      <c r="U26" s="16128"/>
      <c r="V26" s="15973"/>
      <c r="W26" s="242"/>
      <c r="X26" s="16120"/>
      <c r="Z26" s="407"/>
      <c r="AA26" s="407" t="str">
        <f t="shared" si="0"/>
        <v/>
      </c>
      <c r="AB26" s="407"/>
      <c r="AC26" s="407"/>
    </row>
    <row r="27" spans="1:29" ht="15" customHeight="1">
      <c r="A27" s="1240" t="s">
        <v>199</v>
      </c>
      <c r="B27" s="1240" t="s">
        <v>200</v>
      </c>
      <c r="C27" s="1240" t="s">
        <v>201</v>
      </c>
      <c r="D27" s="1240" t="s">
        <v>202</v>
      </c>
      <c r="E27" s="1240"/>
      <c r="F27" s="15970"/>
      <c r="G27" s="15970"/>
      <c r="I27" s="16123"/>
      <c r="J27" s="16123"/>
      <c r="K27" s="272"/>
      <c r="L27" s="1160"/>
      <c r="M27" s="205" t="s">
        <v>548</v>
      </c>
      <c r="N27" s="282"/>
      <c r="O27" s="282"/>
      <c r="P27" s="282"/>
      <c r="Q27" s="282"/>
      <c r="R27" s="282"/>
      <c r="S27" s="282"/>
      <c r="T27" s="282"/>
      <c r="U27" s="282"/>
      <c r="V27" s="282"/>
      <c r="W27" s="241"/>
      <c r="X27" s="16121"/>
      <c r="Z27" s="407"/>
      <c r="AA27" s="407" t="str">
        <f t="shared" si="0"/>
        <v>Добавить вид теплоносителя (параметры теплоносителя)</v>
      </c>
      <c r="AB27" s="407"/>
      <c r="AC27" s="407"/>
    </row>
    <row r="28" spans="1:29" ht="15" customHeight="1">
      <c r="A28" s="1240" t="s">
        <v>199</v>
      </c>
      <c r="B28" s="1240" t="s">
        <v>200</v>
      </c>
      <c r="C28" s="1240" t="s">
        <v>201</v>
      </c>
      <c r="D28" s="1240" t="s">
        <v>202</v>
      </c>
      <c r="E28" s="1240"/>
      <c r="F28" s="15970"/>
      <c r="I28" s="16123"/>
      <c r="J28" s="1171"/>
      <c r="K28" s="272"/>
      <c r="L28" s="1160"/>
      <c r="M28" s="204" t="s">
        <v>549</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0" t="s">
        <v>199</v>
      </c>
      <c r="B29" s="1240" t="s">
        <v>200</v>
      </c>
      <c r="C29" s="1240" t="s">
        <v>201</v>
      </c>
      <c r="D29" s="1240" t="s">
        <v>202</v>
      </c>
      <c r="E29" s="1240"/>
      <c r="F29" s="1242"/>
      <c r="G29" s="1242"/>
      <c r="H29" s="443"/>
      <c r="I29" s="276"/>
      <c r="J29" s="290"/>
      <c r="K29" s="271"/>
      <c r="L29" s="1160"/>
      <c r="M29" s="280" t="s">
        <v>550</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0" t="s">
        <v>199</v>
      </c>
      <c r="B30" s="1240" t="s">
        <v>200</v>
      </c>
      <c r="C30" s="1240" t="s">
        <v>201</v>
      </c>
      <c r="D30" s="1240"/>
      <c r="E30" s="1240" t="s">
        <v>724</v>
      </c>
      <c r="F30" s="1242"/>
      <c r="G30" s="1242"/>
      <c r="H30" s="443"/>
      <c r="I30" s="276"/>
      <c r="J30" s="290"/>
      <c r="K30" s="271"/>
      <c r="L30" s="1161"/>
      <c r="M30" s="1150"/>
      <c r="N30" s="1151"/>
      <c r="O30" s="1151"/>
      <c r="P30" s="1151"/>
      <c r="Q30" s="1151"/>
      <c r="R30" s="1151"/>
      <c r="S30" s="1151"/>
      <c r="T30" s="1151"/>
      <c r="U30" s="1151"/>
      <c r="V30" s="1152"/>
      <c r="W30" s="1151"/>
      <c r="X30" s="1153"/>
      <c r="Z30" s="407"/>
      <c r="AA30" s="407" t="str">
        <f t="shared" si="0"/>
        <v/>
      </c>
      <c r="AB30" s="407"/>
      <c r="AC30" s="407"/>
    </row>
    <row r="31" spans="1:29" ht="14.25" customHeight="1">
      <c r="A31" s="1240" t="s">
        <v>199</v>
      </c>
      <c r="B31" s="1240" t="s">
        <v>200</v>
      </c>
      <c r="C31" s="1240"/>
      <c r="D31" s="1240"/>
      <c r="E31" s="1240" t="s">
        <v>2288</v>
      </c>
      <c r="F31" s="1388"/>
      <c r="G31" s="1388"/>
      <c r="H31" s="443"/>
      <c r="I31" s="274"/>
      <c r="J31" s="290"/>
      <c r="K31" s="275"/>
      <c r="L31" s="1161"/>
      <c r="M31" s="1154"/>
      <c r="N31" s="1151"/>
      <c r="O31" s="1151"/>
      <c r="P31" s="1151"/>
      <c r="Q31" s="1151"/>
      <c r="R31" s="1151"/>
      <c r="S31" s="1151"/>
      <c r="T31" s="1151"/>
      <c r="U31" s="1151"/>
      <c r="V31" s="1152"/>
      <c r="W31" s="1151"/>
      <c r="X31" s="1153"/>
      <c r="Z31" s="407"/>
      <c r="AA31" s="407" t="str">
        <f t="shared" si="0"/>
        <v/>
      </c>
      <c r="AB31" s="407"/>
      <c r="AC31" s="407"/>
    </row>
    <row r="32" spans="1:29" ht="14.25" customHeight="1">
      <c r="A32" s="1240" t="s">
        <v>2289</v>
      </c>
      <c r="B32" s="1240"/>
      <c r="C32" s="1240"/>
      <c r="D32" s="1240"/>
      <c r="E32" s="1240" t="s">
        <v>142</v>
      </c>
      <c r="F32" s="1388"/>
      <c r="G32" s="1388"/>
      <c r="H32" s="443"/>
      <c r="I32" s="276"/>
      <c r="J32" s="290"/>
      <c r="K32" s="271"/>
      <c r="L32" s="1161"/>
      <c r="M32" s="1155"/>
      <c r="N32" s="1151"/>
      <c r="O32" s="1151"/>
      <c r="P32" s="1151"/>
      <c r="Q32" s="1151"/>
      <c r="R32" s="1151"/>
      <c r="S32" s="1151"/>
      <c r="T32" s="1151"/>
      <c r="U32" s="1151"/>
      <c r="V32" s="1152"/>
      <c r="W32" s="1151"/>
      <c r="X32" s="1153"/>
      <c r="Z32" s="407"/>
      <c r="AA32" s="407" t="str">
        <f t="shared" si="0"/>
        <v/>
      </c>
      <c r="AB32" s="407"/>
      <c r="AC32" s="407"/>
    </row>
    <row r="33" spans="1:29" s="15934" customFormat="1" ht="11.25" customHeight="1">
      <c r="A33" s="1240"/>
      <c r="B33" s="1240"/>
      <c r="C33" s="1240"/>
      <c r="D33" s="1240"/>
      <c r="E33" s="1240" t="s">
        <v>390</v>
      </c>
      <c r="F33" s="1389"/>
      <c r="G33" s="1390"/>
      <c r="H33" s="443"/>
      <c r="L33" s="1162"/>
      <c r="M33" s="1156"/>
      <c r="N33" s="1151"/>
      <c r="O33" s="1151"/>
      <c r="P33" s="1151"/>
      <c r="Q33" s="1151"/>
      <c r="R33" s="1151"/>
      <c r="S33" s="1151"/>
      <c r="T33" s="1151"/>
      <c r="U33" s="1151"/>
      <c r="V33" s="1152"/>
      <c r="W33" s="1151"/>
      <c r="X33" s="1153"/>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68" t="s">
        <v>856</v>
      </c>
      <c r="M35" s="16144" t="s">
        <v>2290</v>
      </c>
      <c r="N35" s="16144"/>
      <c r="O35" s="16144"/>
      <c r="P35" s="16144"/>
      <c r="Q35" s="16144"/>
      <c r="R35" s="16144"/>
      <c r="S35" s="16144"/>
      <c r="T35" s="16144"/>
      <c r="U35" s="16144"/>
      <c r="V35" s="16144"/>
      <c r="W35" s="16144"/>
      <c r="X35" s="16144"/>
    </row>
    <row r="36" spans="1:29" ht="104.25" customHeight="1">
      <c r="H36" s="443"/>
      <c r="I36" s="1183"/>
      <c r="M36" s="16144" t="s">
        <v>2291</v>
      </c>
      <c r="N36" s="16144"/>
      <c r="O36" s="16144"/>
      <c r="P36" s="16144"/>
      <c r="Q36" s="16144"/>
      <c r="R36" s="16144"/>
      <c r="S36" s="16144"/>
      <c r="T36" s="16144"/>
      <c r="U36" s="16144"/>
      <c r="V36" s="16144"/>
      <c r="W36" s="16144"/>
      <c r="X36" s="16144"/>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5936" customWidth="1"/>
    <col min="2" max="2" width="8.7109375" style="15936" customWidth="1"/>
    <col min="3" max="3" width="18.140625" style="15936" customWidth="1"/>
    <col min="4" max="4" width="12.5703125" style="15936" customWidth="1"/>
  </cols>
  <sheetData>
    <row r="1" spans="1:5" ht="11.25" customHeight="1">
      <c r="A1" s="651" t="s">
        <v>2292</v>
      </c>
      <c r="B1" s="662" t="s">
        <v>2293</v>
      </c>
      <c r="C1" s="16387" t="s">
        <v>2294</v>
      </c>
      <c r="D1" s="16388"/>
      <c r="E1" s="734" t="s">
        <v>2295</v>
      </c>
    </row>
    <row r="2" spans="1:5" ht="11.25" customHeight="1">
      <c r="A2" s="655"/>
      <c r="B2" s="663" t="s">
        <v>22</v>
      </c>
      <c r="C2" s="651"/>
      <c r="D2" s="662"/>
      <c r="E2" s="734"/>
    </row>
    <row r="3" spans="1:5" ht="11.25" customHeight="1">
      <c r="A3" s="666"/>
      <c r="B3" s="664" t="s">
        <v>29</v>
      </c>
      <c r="C3" s="651"/>
      <c r="D3" s="662"/>
      <c r="E3" s="734"/>
    </row>
    <row r="4" spans="1:5" ht="11.25" customHeight="1">
      <c r="A4" s="667"/>
      <c r="B4" s="664" t="s">
        <v>1707</v>
      </c>
      <c r="C4" s="651"/>
      <c r="D4" s="662"/>
      <c r="E4" s="734"/>
    </row>
    <row r="5" spans="1:5" ht="11.25" customHeight="1">
      <c r="A5" s="679"/>
      <c r="B5" s="664" t="s">
        <v>1701</v>
      </c>
      <c r="C5" s="654" t="s">
        <v>2051</v>
      </c>
      <c r="D5" s="774" t="s">
        <v>2296</v>
      </c>
      <c r="E5" s="734"/>
    </row>
    <row r="6" spans="1:5" s="15934" customFormat="1" ht="11.25" customHeight="1">
      <c r="A6" s="665"/>
      <c r="B6" s="664" t="s">
        <v>1711</v>
      </c>
      <c r="C6" s="651"/>
      <c r="D6" s="662"/>
      <c r="E6" s="734"/>
    </row>
    <row r="7" spans="1:5" ht="11.25" customHeight="1">
      <c r="A7" s="653"/>
      <c r="B7" s="664" t="s">
        <v>1719</v>
      </c>
      <c r="C7" s="651"/>
      <c r="D7" s="662"/>
      <c r="E7" s="734"/>
    </row>
    <row r="8" spans="1:5" ht="11.25" customHeight="1">
      <c r="A8" s="654"/>
      <c r="B8" s="664" t="s">
        <v>1714</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
  <sheetViews>
    <sheetView showGridLines="0" workbookViewId="0"/>
  </sheetViews>
  <sheetFormatPr defaultColWidth="9.140625" defaultRowHeight="11.25" customHeight="1"/>
  <cols>
    <col min="1" max="2" width="9.140625" style="15937"/>
    <col min="3" max="3" width="20.7109375" style="15937" customWidth="1"/>
    <col min="4" max="4" width="25.140625" style="15937" customWidth="1"/>
    <col min="5" max="9" width="9.140625" style="15937"/>
  </cols>
  <sheetData>
    <row r="1" spans="1:9" ht="11.25" customHeight="1">
      <c r="A1" s="7" t="s">
        <v>2297</v>
      </c>
      <c r="B1" s="7" t="s">
        <v>2298</v>
      </c>
      <c r="C1" s="7" t="s">
        <v>2299</v>
      </c>
      <c r="D1" s="7" t="s">
        <v>2300</v>
      </c>
      <c r="E1" s="7" t="s">
        <v>2301</v>
      </c>
      <c r="F1" s="7" t="s">
        <v>2302</v>
      </c>
      <c r="G1" s="7" t="s">
        <v>2303</v>
      </c>
      <c r="H1" s="7" t="s">
        <v>2304</v>
      </c>
      <c r="I1" s="7" t="s">
        <v>2305</v>
      </c>
    </row>
    <row r="2" spans="1:9" ht="11.25" customHeight="1">
      <c r="A2" s="10487" t="s">
        <v>2306</v>
      </c>
      <c r="B2" s="10487" t="s">
        <v>14</v>
      </c>
      <c r="C2" s="10487" t="s">
        <v>2307</v>
      </c>
      <c r="D2" s="10487" t="s">
        <v>2308</v>
      </c>
      <c r="E2" s="10487" t="s">
        <v>2309</v>
      </c>
      <c r="F2" s="10487" t="s">
        <v>2310</v>
      </c>
      <c r="G2" s="10487" t="s">
        <v>2311</v>
      </c>
      <c r="H2" s="10487" t="s">
        <v>24</v>
      </c>
      <c r="I2" s="10487" t="s">
        <v>860</v>
      </c>
    </row>
    <row r="3" spans="1:9" ht="11.25" customHeight="1">
      <c r="A3" s="10487" t="s">
        <v>2306</v>
      </c>
      <c r="B3" s="10487" t="s">
        <v>14</v>
      </c>
      <c r="C3" s="10487" t="s">
        <v>2312</v>
      </c>
      <c r="D3" s="10487" t="s">
        <v>2308</v>
      </c>
      <c r="E3" s="10487" t="s">
        <v>2309</v>
      </c>
      <c r="F3" s="10487" t="s">
        <v>2313</v>
      </c>
      <c r="G3" s="10487" t="s">
        <v>2314</v>
      </c>
      <c r="H3" s="10487" t="s">
        <v>24</v>
      </c>
      <c r="I3" s="10487" t="s">
        <v>860</v>
      </c>
    </row>
    <row r="4" spans="1:9" ht="11.25" customHeight="1">
      <c r="A4" s="10487" t="s">
        <v>2306</v>
      </c>
      <c r="B4" s="10487" t="s">
        <v>14</v>
      </c>
      <c r="C4" s="10487" t="s">
        <v>2315</v>
      </c>
      <c r="D4" s="10487" t="s">
        <v>2316</v>
      </c>
      <c r="E4" s="10487" t="s">
        <v>2317</v>
      </c>
      <c r="F4" s="10487" t="s">
        <v>2318</v>
      </c>
      <c r="G4" s="10487" t="s">
        <v>24</v>
      </c>
      <c r="H4" s="10487" t="s">
        <v>24</v>
      </c>
      <c r="I4" s="10487" t="s">
        <v>860</v>
      </c>
    </row>
    <row r="5" spans="1:9" ht="11.25" customHeight="1">
      <c r="A5" s="10487" t="s">
        <v>2306</v>
      </c>
      <c r="B5" s="10487" t="s">
        <v>14</v>
      </c>
      <c r="C5" s="10487" t="s">
        <v>2319</v>
      </c>
      <c r="D5" s="10487" t="s">
        <v>2320</v>
      </c>
      <c r="E5" s="10487" t="s">
        <v>2321</v>
      </c>
      <c r="F5" s="10487" t="s">
        <v>51</v>
      </c>
      <c r="G5" s="10487" t="s">
        <v>2322</v>
      </c>
      <c r="H5" s="10487" t="s">
        <v>24</v>
      </c>
      <c r="I5" s="10487" t="s">
        <v>860</v>
      </c>
    </row>
    <row r="6" spans="1:9" ht="11.25" customHeight="1">
      <c r="A6" s="10487" t="s">
        <v>2306</v>
      </c>
      <c r="B6" s="10487" t="s">
        <v>14</v>
      </c>
      <c r="C6" s="10487" t="s">
        <v>2323</v>
      </c>
      <c r="D6" s="10487" t="s">
        <v>2324</v>
      </c>
      <c r="E6" s="10487" t="s">
        <v>2325</v>
      </c>
      <c r="F6" s="10487" t="s">
        <v>2326</v>
      </c>
      <c r="G6" s="10487" t="s">
        <v>24</v>
      </c>
      <c r="H6" s="10487" t="s">
        <v>24</v>
      </c>
      <c r="I6" s="10487" t="s">
        <v>860</v>
      </c>
    </row>
    <row r="7" spans="1:9" ht="11.25" customHeight="1">
      <c r="A7" s="10487" t="s">
        <v>2306</v>
      </c>
      <c r="B7" s="10487" t="s">
        <v>14</v>
      </c>
      <c r="C7" s="10487" t="s">
        <v>2327</v>
      </c>
      <c r="D7" s="10487" t="s">
        <v>2328</v>
      </c>
      <c r="E7" s="10487" t="s">
        <v>2329</v>
      </c>
      <c r="F7" s="10487" t="s">
        <v>2326</v>
      </c>
      <c r="G7" s="10487" t="s">
        <v>2330</v>
      </c>
      <c r="H7" s="10487" t="s">
        <v>24</v>
      </c>
      <c r="I7" s="10487" t="s">
        <v>860</v>
      </c>
    </row>
    <row r="8" spans="1:9" ht="11.25" customHeight="1">
      <c r="A8" s="10487" t="s">
        <v>2306</v>
      </c>
      <c r="B8" s="10487" t="s">
        <v>14</v>
      </c>
      <c r="C8" s="10487" t="s">
        <v>2331</v>
      </c>
      <c r="D8" s="10487" t="s">
        <v>2332</v>
      </c>
      <c r="E8" s="10487" t="s">
        <v>2333</v>
      </c>
      <c r="F8" s="10487" t="s">
        <v>2334</v>
      </c>
      <c r="G8" s="10487" t="s">
        <v>24</v>
      </c>
      <c r="H8" s="10487" t="s">
        <v>24</v>
      </c>
      <c r="I8" s="10487" t="s">
        <v>860</v>
      </c>
    </row>
    <row r="9" spans="1:9" ht="11.25" customHeight="1">
      <c r="A9" s="10487" t="s">
        <v>2306</v>
      </c>
      <c r="B9" s="10487" t="s">
        <v>14</v>
      </c>
      <c r="C9" s="10487" t="s">
        <v>2335</v>
      </c>
      <c r="D9" s="10487" t="s">
        <v>2336</v>
      </c>
      <c r="E9" s="10487" t="s">
        <v>2337</v>
      </c>
      <c r="F9" s="10487" t="s">
        <v>51</v>
      </c>
      <c r="G9" s="10487" t="s">
        <v>24</v>
      </c>
      <c r="H9" s="10487" t="s">
        <v>24</v>
      </c>
      <c r="I9" s="10487" t="s">
        <v>860</v>
      </c>
    </row>
    <row r="10" spans="1:9" ht="11.25" customHeight="1">
      <c r="A10" s="10487" t="s">
        <v>2306</v>
      </c>
      <c r="B10" s="10487" t="s">
        <v>14</v>
      </c>
      <c r="C10" s="10487" t="s">
        <v>2338</v>
      </c>
      <c r="D10" s="10487" t="s">
        <v>2339</v>
      </c>
      <c r="E10" s="10487" t="s">
        <v>2340</v>
      </c>
      <c r="F10" s="10487" t="s">
        <v>51</v>
      </c>
      <c r="G10" s="10487" t="s">
        <v>2341</v>
      </c>
      <c r="H10" s="10487" t="s">
        <v>24</v>
      </c>
      <c r="I10" s="10487" t="s">
        <v>860</v>
      </c>
    </row>
    <row r="11" spans="1:9" ht="11.25" customHeight="1">
      <c r="A11" s="10487" t="s">
        <v>2306</v>
      </c>
      <c r="B11" s="10487" t="s">
        <v>14</v>
      </c>
      <c r="C11" s="10487" t="s">
        <v>2342</v>
      </c>
      <c r="D11" s="10487" t="s">
        <v>46</v>
      </c>
      <c r="E11" s="10487" t="s">
        <v>49</v>
      </c>
      <c r="F11" s="10487" t="s">
        <v>51</v>
      </c>
      <c r="G11" s="10487" t="s">
        <v>24</v>
      </c>
      <c r="H11" s="10487" t="s">
        <v>24</v>
      </c>
      <c r="I11" s="10487" t="s">
        <v>860</v>
      </c>
    </row>
    <row r="12" spans="1:9" ht="11.25" customHeight="1">
      <c r="A12" s="10487" t="s">
        <v>2306</v>
      </c>
      <c r="B12" s="10487" t="s">
        <v>14</v>
      </c>
      <c r="C12" s="10487" t="s">
        <v>2343</v>
      </c>
      <c r="D12" s="10487" t="s">
        <v>2344</v>
      </c>
      <c r="E12" s="10487" t="s">
        <v>2345</v>
      </c>
      <c r="F12" s="10487" t="s">
        <v>2346</v>
      </c>
      <c r="G12" s="10487" t="s">
        <v>24</v>
      </c>
      <c r="H12" s="10487" t="s">
        <v>24</v>
      </c>
      <c r="I12" s="10487" t="s">
        <v>860</v>
      </c>
    </row>
    <row r="13" spans="1:9" ht="11.25" customHeight="1">
      <c r="A13" s="10487" t="s">
        <v>2306</v>
      </c>
      <c r="B13" s="10487" t="s">
        <v>14</v>
      </c>
      <c r="C13" s="10487" t="s">
        <v>2347</v>
      </c>
      <c r="D13" s="10487" t="s">
        <v>2348</v>
      </c>
      <c r="E13" s="10487" t="s">
        <v>2349</v>
      </c>
      <c r="F13" s="10487" t="s">
        <v>2350</v>
      </c>
      <c r="G13" s="10487" t="s">
        <v>2351</v>
      </c>
      <c r="H13" s="10487" t="s">
        <v>24</v>
      </c>
      <c r="I13" s="10487" t="s">
        <v>860</v>
      </c>
    </row>
    <row r="14" spans="1:9" ht="11.25" customHeight="1">
      <c r="A14" s="10487" t="s">
        <v>2306</v>
      </c>
      <c r="B14" s="10487" t="s">
        <v>14</v>
      </c>
      <c r="C14" s="10487" t="s">
        <v>2352</v>
      </c>
      <c r="D14" s="10487" t="s">
        <v>2353</v>
      </c>
      <c r="E14" s="10487" t="s">
        <v>2354</v>
      </c>
      <c r="F14" s="10487" t="s">
        <v>2355</v>
      </c>
      <c r="G14" s="10487" t="s">
        <v>24</v>
      </c>
      <c r="H14" s="10487" t="s">
        <v>24</v>
      </c>
      <c r="I14" s="10487" t="s">
        <v>860</v>
      </c>
    </row>
    <row r="15" spans="1:9" ht="11.25" customHeight="1">
      <c r="A15" s="10487" t="s">
        <v>2306</v>
      </c>
      <c r="B15" s="10487" t="s">
        <v>14</v>
      </c>
      <c r="C15" s="10487" t="s">
        <v>2356</v>
      </c>
      <c r="D15" s="10487" t="s">
        <v>2357</v>
      </c>
      <c r="E15" s="10487" t="s">
        <v>2358</v>
      </c>
      <c r="F15" s="10487" t="s">
        <v>2359</v>
      </c>
      <c r="G15" s="10487" t="s">
        <v>2360</v>
      </c>
      <c r="H15" s="10487" t="s">
        <v>24</v>
      </c>
      <c r="I15" s="10487" t="s">
        <v>860</v>
      </c>
    </row>
    <row r="16" spans="1:9" ht="11.25" customHeight="1">
      <c r="A16" s="10487" t="s">
        <v>2306</v>
      </c>
      <c r="B16" s="10487" t="s">
        <v>14</v>
      </c>
      <c r="C16" s="10487" t="s">
        <v>2361</v>
      </c>
      <c r="D16" s="10487" t="s">
        <v>2362</v>
      </c>
      <c r="E16" s="10487" t="s">
        <v>2363</v>
      </c>
      <c r="F16" s="10487" t="s">
        <v>2364</v>
      </c>
      <c r="G16" s="10487" t="s">
        <v>24</v>
      </c>
      <c r="H16" s="10487" t="s">
        <v>24</v>
      </c>
      <c r="I16" s="10487" t="s">
        <v>860</v>
      </c>
    </row>
    <row r="17" spans="1:9" ht="11.25" customHeight="1">
      <c r="A17" s="10487" t="s">
        <v>2306</v>
      </c>
      <c r="B17" s="10487" t="s">
        <v>14</v>
      </c>
      <c r="C17" s="10487" t="s">
        <v>2365</v>
      </c>
      <c r="D17" s="10487" t="s">
        <v>2366</v>
      </c>
      <c r="E17" s="10487" t="s">
        <v>2367</v>
      </c>
      <c r="F17" s="10487" t="s">
        <v>51</v>
      </c>
      <c r="G17" s="10487" t="s">
        <v>2368</v>
      </c>
      <c r="H17" s="10487" t="s">
        <v>24</v>
      </c>
      <c r="I17" s="10487" t="s">
        <v>860</v>
      </c>
    </row>
    <row r="18" spans="1:9" ht="11.25" customHeight="1">
      <c r="A18" s="10487" t="s">
        <v>2306</v>
      </c>
      <c r="B18" s="10487" t="s">
        <v>14</v>
      </c>
      <c r="C18" s="10487" t="s">
        <v>2369</v>
      </c>
      <c r="D18" s="10487" t="s">
        <v>2370</v>
      </c>
      <c r="E18" s="10487" t="s">
        <v>2371</v>
      </c>
      <c r="F18" s="10487" t="s">
        <v>2372</v>
      </c>
      <c r="G18" s="10487" t="s">
        <v>24</v>
      </c>
      <c r="H18" s="10487" t="s">
        <v>24</v>
      </c>
      <c r="I18" s="10487" t="s">
        <v>860</v>
      </c>
    </row>
    <row r="19" spans="1:9" ht="11.25" customHeight="1">
      <c r="A19" s="10487" t="s">
        <v>2306</v>
      </c>
      <c r="B19" s="10487" t="s">
        <v>14</v>
      </c>
      <c r="C19" s="10487" t="s">
        <v>2373</v>
      </c>
      <c r="D19" s="10487" t="s">
        <v>2374</v>
      </c>
      <c r="E19" s="10487" t="s">
        <v>2375</v>
      </c>
      <c r="F19" s="10487" t="s">
        <v>51</v>
      </c>
      <c r="G19" s="10487" t="s">
        <v>24</v>
      </c>
      <c r="H19" s="10487" t="s">
        <v>24</v>
      </c>
      <c r="I19" s="10487" t="s">
        <v>860</v>
      </c>
    </row>
    <row r="20" spans="1:9" ht="11.25" customHeight="1">
      <c r="A20" s="10487" t="s">
        <v>2306</v>
      </c>
      <c r="B20" s="10487" t="s">
        <v>14</v>
      </c>
      <c r="C20" s="10487" t="s">
        <v>2376</v>
      </c>
      <c r="D20" s="10487" t="s">
        <v>2377</v>
      </c>
      <c r="E20" s="10487" t="s">
        <v>2378</v>
      </c>
      <c r="F20" s="10487" t="s">
        <v>51</v>
      </c>
      <c r="G20" s="10487" t="s">
        <v>2379</v>
      </c>
      <c r="H20" s="10487" t="s">
        <v>24</v>
      </c>
      <c r="I20" s="10487" t="s">
        <v>860</v>
      </c>
    </row>
    <row r="21" spans="1:9" ht="11.25" customHeight="1">
      <c r="A21" s="10487" t="s">
        <v>2306</v>
      </c>
      <c r="B21" s="10487" t="s">
        <v>14</v>
      </c>
      <c r="C21" s="10487" t="s">
        <v>24</v>
      </c>
      <c r="D21" s="10487" t="s">
        <v>2380</v>
      </c>
      <c r="E21" s="10487" t="s">
        <v>2381</v>
      </c>
      <c r="F21" s="10487" t="s">
        <v>51</v>
      </c>
      <c r="G21" s="10487" t="s">
        <v>24</v>
      </c>
      <c r="H21" s="10487" t="s">
        <v>24</v>
      </c>
      <c r="I21" s="10487" t="s">
        <v>860</v>
      </c>
    </row>
    <row r="22" spans="1:9" ht="11.25" customHeight="1">
      <c r="A22" s="10487" t="s">
        <v>2306</v>
      </c>
      <c r="B22" s="10487" t="s">
        <v>14</v>
      </c>
      <c r="C22" s="10487" t="s">
        <v>2382</v>
      </c>
      <c r="D22" s="10487" t="s">
        <v>2383</v>
      </c>
      <c r="E22" s="10487" t="s">
        <v>2384</v>
      </c>
      <c r="F22" s="10487" t="s">
        <v>2385</v>
      </c>
      <c r="G22" s="10487" t="s">
        <v>24</v>
      </c>
      <c r="H22" s="10487" t="s">
        <v>24</v>
      </c>
      <c r="I22" s="10487" t="s">
        <v>860</v>
      </c>
    </row>
    <row r="23" spans="1:9" ht="11.25" customHeight="1">
      <c r="A23" s="10487" t="s">
        <v>2306</v>
      </c>
      <c r="B23" s="10487" t="s">
        <v>14</v>
      </c>
      <c r="C23" s="10487" t="s">
        <v>2386</v>
      </c>
      <c r="D23" s="10487" t="s">
        <v>2387</v>
      </c>
      <c r="E23" s="10487" t="s">
        <v>2388</v>
      </c>
      <c r="F23" s="10487" t="s">
        <v>2318</v>
      </c>
      <c r="G23" s="10487" t="s">
        <v>24</v>
      </c>
      <c r="H23" s="10487" t="s">
        <v>24</v>
      </c>
      <c r="I23" s="10487" t="s">
        <v>860</v>
      </c>
    </row>
    <row r="24" spans="1:9" ht="11.25" customHeight="1">
      <c r="A24" s="10487" t="s">
        <v>2306</v>
      </c>
      <c r="B24" s="10487" t="s">
        <v>14</v>
      </c>
      <c r="C24" s="10487" t="s">
        <v>2389</v>
      </c>
      <c r="D24" s="10487" t="s">
        <v>2390</v>
      </c>
      <c r="E24" s="10487" t="s">
        <v>2391</v>
      </c>
      <c r="F24" s="10487" t="s">
        <v>2385</v>
      </c>
      <c r="G24" s="10487" t="s">
        <v>2392</v>
      </c>
      <c r="H24" s="10487" t="s">
        <v>24</v>
      </c>
      <c r="I24" s="10487" t="s">
        <v>860</v>
      </c>
    </row>
    <row r="25" spans="1:9" ht="11.25" customHeight="1">
      <c r="A25" s="10487" t="s">
        <v>2306</v>
      </c>
      <c r="B25" s="10487" t="s">
        <v>14</v>
      </c>
      <c r="C25" s="10487" t="s">
        <v>2393</v>
      </c>
      <c r="D25" s="10487" t="s">
        <v>2394</v>
      </c>
      <c r="E25" s="10487" t="s">
        <v>2395</v>
      </c>
      <c r="F25" s="10487" t="s">
        <v>2385</v>
      </c>
      <c r="G25" s="10487" t="s">
        <v>2396</v>
      </c>
      <c r="H25" s="10487" t="s">
        <v>24</v>
      </c>
      <c r="I25" s="10487" t="s">
        <v>860</v>
      </c>
    </row>
    <row r="26" spans="1:9" ht="11.25" customHeight="1">
      <c r="A26" s="10487" t="s">
        <v>2306</v>
      </c>
      <c r="B26" s="10487" t="s">
        <v>14</v>
      </c>
      <c r="C26" s="10487" t="s">
        <v>2397</v>
      </c>
      <c r="D26" s="10487" t="s">
        <v>2398</v>
      </c>
      <c r="E26" s="10487" t="s">
        <v>2399</v>
      </c>
      <c r="F26" s="10487" t="s">
        <v>2400</v>
      </c>
      <c r="G26" s="10487" t="s">
        <v>2401</v>
      </c>
      <c r="H26" s="10487" t="s">
        <v>24</v>
      </c>
      <c r="I26" s="10487" t="s">
        <v>860</v>
      </c>
    </row>
    <row r="27" spans="1:9" ht="11.25" customHeight="1">
      <c r="A27" s="10487" t="s">
        <v>2306</v>
      </c>
      <c r="B27" s="10487" t="s">
        <v>14</v>
      </c>
      <c r="C27" s="10487" t="s">
        <v>2402</v>
      </c>
      <c r="D27" s="10487" t="s">
        <v>2403</v>
      </c>
      <c r="E27" s="10487" t="s">
        <v>2404</v>
      </c>
      <c r="F27" s="10487" t="s">
        <v>2405</v>
      </c>
      <c r="G27" s="10487" t="s">
        <v>24</v>
      </c>
      <c r="H27" s="10487" t="s">
        <v>24</v>
      </c>
      <c r="I27" s="10487" t="s">
        <v>860</v>
      </c>
    </row>
    <row r="28" spans="1:9" ht="11.25" customHeight="1">
      <c r="A28" s="10487" t="s">
        <v>2306</v>
      </c>
      <c r="B28" s="10487" t="s">
        <v>14</v>
      </c>
      <c r="C28" s="10487" t="s">
        <v>2406</v>
      </c>
      <c r="D28" s="10487" t="s">
        <v>2407</v>
      </c>
      <c r="E28" s="10487" t="s">
        <v>2408</v>
      </c>
      <c r="F28" s="10487" t="s">
        <v>2350</v>
      </c>
      <c r="G28" s="10487" t="s">
        <v>24</v>
      </c>
      <c r="H28" s="10487" t="s">
        <v>24</v>
      </c>
      <c r="I28" s="10487" t="s">
        <v>860</v>
      </c>
    </row>
    <row r="29" spans="1:9" ht="11.25" customHeight="1">
      <c r="A29" s="10487" t="s">
        <v>2306</v>
      </c>
      <c r="B29" s="10487" t="s">
        <v>14</v>
      </c>
      <c r="C29" s="10487" t="s">
        <v>2409</v>
      </c>
      <c r="D29" s="10487" t="s">
        <v>2410</v>
      </c>
      <c r="E29" s="10487" t="s">
        <v>2411</v>
      </c>
      <c r="F29" s="10487" t="s">
        <v>2412</v>
      </c>
      <c r="G29" s="10487" t="s">
        <v>24</v>
      </c>
      <c r="H29" s="10487" t="s">
        <v>24</v>
      </c>
      <c r="I29" s="10487" t="s">
        <v>860</v>
      </c>
    </row>
    <row r="30" spans="1:9" ht="11.25" customHeight="1">
      <c r="A30" s="10487" t="s">
        <v>2306</v>
      </c>
      <c r="B30" s="10487" t="s">
        <v>14</v>
      </c>
      <c r="C30" s="10487" t="s">
        <v>2413</v>
      </c>
      <c r="D30" s="10487" t="s">
        <v>2414</v>
      </c>
      <c r="E30" s="10487" t="s">
        <v>2415</v>
      </c>
      <c r="F30" s="10487" t="s">
        <v>2416</v>
      </c>
      <c r="G30" s="10487" t="s">
        <v>24</v>
      </c>
      <c r="H30" s="10487" t="s">
        <v>24</v>
      </c>
      <c r="I30" s="10487" t="s">
        <v>860</v>
      </c>
    </row>
    <row r="31" spans="1:9" ht="11.25" customHeight="1">
      <c r="A31" s="10487" t="s">
        <v>2306</v>
      </c>
      <c r="B31" s="10487" t="s">
        <v>14</v>
      </c>
      <c r="C31" s="10487" t="s">
        <v>2417</v>
      </c>
      <c r="D31" s="10487" t="s">
        <v>2418</v>
      </c>
      <c r="E31" s="10487" t="s">
        <v>2419</v>
      </c>
      <c r="F31" s="10487" t="s">
        <v>2318</v>
      </c>
      <c r="G31" s="10487" t="s">
        <v>24</v>
      </c>
      <c r="H31" s="10487" t="s">
        <v>24</v>
      </c>
      <c r="I31" s="10487" t="s">
        <v>860</v>
      </c>
    </row>
    <row r="32" spans="1:9" ht="11.25" customHeight="1">
      <c r="A32" s="10487" t="s">
        <v>2306</v>
      </c>
      <c r="B32" s="10487" t="s">
        <v>14</v>
      </c>
      <c r="C32" s="10487" t="s">
        <v>2420</v>
      </c>
      <c r="D32" s="10487" t="s">
        <v>2421</v>
      </c>
      <c r="E32" s="10487" t="s">
        <v>2422</v>
      </c>
      <c r="F32" s="10487" t="s">
        <v>2359</v>
      </c>
      <c r="G32" s="10487" t="s">
        <v>24</v>
      </c>
      <c r="H32" s="10487" t="s">
        <v>24</v>
      </c>
      <c r="I32" s="10487" t="s">
        <v>860</v>
      </c>
    </row>
    <row r="33" spans="1:9" ht="11.25" customHeight="1">
      <c r="A33" s="10487" t="s">
        <v>2306</v>
      </c>
      <c r="B33" s="10487" t="s">
        <v>14</v>
      </c>
      <c r="C33" s="10487" t="s">
        <v>2423</v>
      </c>
      <c r="D33" s="10487" t="s">
        <v>2424</v>
      </c>
      <c r="E33" s="10487" t="s">
        <v>2425</v>
      </c>
      <c r="F33" s="10487" t="s">
        <v>2318</v>
      </c>
      <c r="G33" s="10487" t="s">
        <v>24</v>
      </c>
      <c r="H33" s="10487" t="s">
        <v>24</v>
      </c>
      <c r="I33" s="10487" t="s">
        <v>860</v>
      </c>
    </row>
    <row r="34" spans="1:9" ht="11.25" customHeight="1">
      <c r="A34" s="10487" t="s">
        <v>2306</v>
      </c>
      <c r="B34" s="10487" t="s">
        <v>14</v>
      </c>
      <c r="C34" s="10487" t="s">
        <v>2426</v>
      </c>
      <c r="D34" s="10487" t="s">
        <v>2427</v>
      </c>
      <c r="E34" s="10487" t="s">
        <v>2428</v>
      </c>
      <c r="F34" s="10487" t="s">
        <v>51</v>
      </c>
      <c r="G34" s="10487" t="s">
        <v>24</v>
      </c>
      <c r="H34" s="10487" t="s">
        <v>24</v>
      </c>
      <c r="I34" s="10487" t="s">
        <v>860</v>
      </c>
    </row>
    <row r="35" spans="1:9" ht="11.25" customHeight="1">
      <c r="A35" s="10487" t="s">
        <v>2306</v>
      </c>
      <c r="B35" s="10487" t="s">
        <v>14</v>
      </c>
      <c r="C35" s="10487" t="s">
        <v>2429</v>
      </c>
      <c r="D35" s="10487" t="s">
        <v>2430</v>
      </c>
      <c r="E35" s="10487" t="s">
        <v>2431</v>
      </c>
      <c r="F35" s="10487" t="s">
        <v>2400</v>
      </c>
      <c r="G35" s="10487" t="s">
        <v>24</v>
      </c>
      <c r="H35" s="10487" t="s">
        <v>24</v>
      </c>
      <c r="I35" s="10487" t="s">
        <v>860</v>
      </c>
    </row>
    <row r="36" spans="1:9" ht="11.25" customHeight="1">
      <c r="A36" s="10487" t="s">
        <v>2306</v>
      </c>
      <c r="B36" s="10487" t="s">
        <v>14</v>
      </c>
      <c r="C36" s="10487" t="s">
        <v>2432</v>
      </c>
      <c r="D36" s="10487" t="s">
        <v>2433</v>
      </c>
      <c r="E36" s="10487" t="s">
        <v>2434</v>
      </c>
      <c r="F36" s="10487" t="s">
        <v>2400</v>
      </c>
      <c r="G36" s="10487" t="s">
        <v>2435</v>
      </c>
      <c r="H36" s="10487" t="s">
        <v>24</v>
      </c>
      <c r="I36" s="10487" t="s">
        <v>860</v>
      </c>
    </row>
    <row r="37" spans="1:9" ht="11.25" customHeight="1">
      <c r="A37" s="10487" t="s">
        <v>2306</v>
      </c>
      <c r="B37" s="10487" t="s">
        <v>14</v>
      </c>
      <c r="C37" s="10487" t="s">
        <v>2436</v>
      </c>
      <c r="D37" s="10487" t="s">
        <v>2437</v>
      </c>
      <c r="E37" s="10487" t="s">
        <v>2438</v>
      </c>
      <c r="F37" s="10487" t="s">
        <v>2439</v>
      </c>
      <c r="G37" s="10487" t="s">
        <v>24</v>
      </c>
      <c r="H37" s="10487" t="s">
        <v>24</v>
      </c>
      <c r="I37" s="10487" t="s">
        <v>860</v>
      </c>
    </row>
    <row r="38" spans="1:9" ht="11.25" customHeight="1">
      <c r="A38" s="10487" t="s">
        <v>2306</v>
      </c>
      <c r="B38" s="10487" t="s">
        <v>14</v>
      </c>
      <c r="C38" s="10487" t="s">
        <v>2440</v>
      </c>
      <c r="D38" s="10487" t="s">
        <v>2441</v>
      </c>
      <c r="E38" s="10487" t="s">
        <v>2442</v>
      </c>
      <c r="F38" s="10487" t="s">
        <v>2385</v>
      </c>
      <c r="G38" s="10487" t="s">
        <v>24</v>
      </c>
      <c r="H38" s="10487" t="s">
        <v>24</v>
      </c>
      <c r="I38" s="10487" t="s">
        <v>860</v>
      </c>
    </row>
    <row r="39" spans="1:9" ht="11.25" customHeight="1">
      <c r="A39" s="10487" t="s">
        <v>2306</v>
      </c>
      <c r="B39" s="10487" t="s">
        <v>14</v>
      </c>
      <c r="C39" s="10487" t="s">
        <v>2443</v>
      </c>
      <c r="D39" s="10487" t="s">
        <v>2444</v>
      </c>
      <c r="E39" s="10487" t="s">
        <v>2445</v>
      </c>
      <c r="F39" s="10487" t="s">
        <v>2318</v>
      </c>
      <c r="G39" s="10487" t="s">
        <v>24</v>
      </c>
      <c r="H39" s="10487" t="s">
        <v>24</v>
      </c>
      <c r="I39" s="10487" t="s">
        <v>860</v>
      </c>
    </row>
    <row r="40" spans="1:9" ht="11.25" customHeight="1">
      <c r="A40" s="10487" t="s">
        <v>2306</v>
      </c>
      <c r="B40" s="10487" t="s">
        <v>14</v>
      </c>
      <c r="C40" s="10487" t="s">
        <v>2446</v>
      </c>
      <c r="D40" s="10487" t="s">
        <v>2447</v>
      </c>
      <c r="E40" s="10487" t="s">
        <v>2448</v>
      </c>
      <c r="F40" s="10487" t="s">
        <v>2359</v>
      </c>
      <c r="G40" s="10487" t="s">
        <v>24</v>
      </c>
      <c r="H40" s="10487" t="s">
        <v>24</v>
      </c>
      <c r="I40" s="10487" t="s">
        <v>860</v>
      </c>
    </row>
    <row r="41" spans="1:9" ht="11.25" customHeight="1">
      <c r="A41" s="10487" t="s">
        <v>2306</v>
      </c>
      <c r="B41" s="10487" t="s">
        <v>14</v>
      </c>
      <c r="C41" s="10487" t="s">
        <v>2449</v>
      </c>
      <c r="D41" s="10487" t="s">
        <v>2450</v>
      </c>
      <c r="E41" s="10487" t="s">
        <v>2451</v>
      </c>
      <c r="F41" s="10487" t="s">
        <v>2452</v>
      </c>
      <c r="G41" s="10487" t="s">
        <v>24</v>
      </c>
      <c r="H41" s="10487" t="s">
        <v>24</v>
      </c>
      <c r="I41" s="10487" t="s">
        <v>860</v>
      </c>
    </row>
    <row r="42" spans="1:9" ht="11.25" customHeight="1">
      <c r="A42" s="10487" t="s">
        <v>2306</v>
      </c>
      <c r="B42" s="10487" t="s">
        <v>14</v>
      </c>
      <c r="C42" s="10487" t="s">
        <v>2453</v>
      </c>
      <c r="D42" s="10487" t="s">
        <v>2454</v>
      </c>
      <c r="E42" s="10487" t="s">
        <v>2455</v>
      </c>
      <c r="F42" s="10487" t="s">
        <v>2318</v>
      </c>
      <c r="G42" s="10487" t="s">
        <v>2456</v>
      </c>
      <c r="H42" s="10487" t="s">
        <v>24</v>
      </c>
      <c r="I42" s="10487" t="s">
        <v>860</v>
      </c>
    </row>
    <row r="43" spans="1:9" ht="11.25" customHeight="1">
      <c r="A43" s="10487" t="s">
        <v>2306</v>
      </c>
      <c r="B43" s="10487" t="s">
        <v>14</v>
      </c>
      <c r="C43" s="10487" t="s">
        <v>2457</v>
      </c>
      <c r="D43" s="10487" t="s">
        <v>2458</v>
      </c>
      <c r="E43" s="10487" t="s">
        <v>2459</v>
      </c>
      <c r="F43" s="10487" t="s">
        <v>2400</v>
      </c>
      <c r="G43" s="10487" t="s">
        <v>2460</v>
      </c>
      <c r="H43" s="10487" t="s">
        <v>24</v>
      </c>
      <c r="I43" s="10487" t="s">
        <v>860</v>
      </c>
    </row>
    <row r="44" spans="1:9" ht="11.25" customHeight="1">
      <c r="A44" s="10487" t="s">
        <v>2306</v>
      </c>
      <c r="B44" s="10487" t="s">
        <v>14</v>
      </c>
      <c r="C44" s="10487" t="s">
        <v>2461</v>
      </c>
      <c r="D44" s="10487" t="s">
        <v>2462</v>
      </c>
      <c r="E44" s="10487" t="s">
        <v>2463</v>
      </c>
      <c r="F44" s="10487" t="s">
        <v>2318</v>
      </c>
      <c r="G44" s="10487" t="s">
        <v>24</v>
      </c>
      <c r="H44" s="10487" t="s">
        <v>24</v>
      </c>
      <c r="I44" s="10487" t="s">
        <v>860</v>
      </c>
    </row>
    <row r="45" spans="1:9" ht="11.25" customHeight="1">
      <c r="A45" s="10487" t="s">
        <v>2306</v>
      </c>
      <c r="B45" s="10487" t="s">
        <v>14</v>
      </c>
      <c r="C45" s="10487" t="s">
        <v>2464</v>
      </c>
      <c r="D45" s="10487" t="s">
        <v>2465</v>
      </c>
      <c r="E45" s="10487" t="s">
        <v>2466</v>
      </c>
      <c r="F45" s="10487" t="s">
        <v>2467</v>
      </c>
      <c r="G45" s="10487" t="s">
        <v>2468</v>
      </c>
      <c r="H45" s="10487" t="s">
        <v>24</v>
      </c>
      <c r="I45" s="10487" t="s">
        <v>860</v>
      </c>
    </row>
    <row r="46" spans="1:9" ht="11.25" customHeight="1">
      <c r="A46" s="10487" t="s">
        <v>2306</v>
      </c>
      <c r="B46" s="10487" t="s">
        <v>14</v>
      </c>
      <c r="C46" s="10487" t="s">
        <v>2469</v>
      </c>
      <c r="D46" s="10487" t="s">
        <v>2470</v>
      </c>
      <c r="E46" s="10487" t="s">
        <v>2471</v>
      </c>
      <c r="F46" s="10487" t="s">
        <v>2472</v>
      </c>
      <c r="G46" s="10487" t="s">
        <v>2473</v>
      </c>
      <c r="H46" s="10487" t="s">
        <v>24</v>
      </c>
      <c r="I46" s="10487" t="s">
        <v>860</v>
      </c>
    </row>
    <row r="47" spans="1:9" ht="11.25" customHeight="1">
      <c r="A47" s="10487" t="s">
        <v>2306</v>
      </c>
      <c r="B47" s="10487" t="s">
        <v>14</v>
      </c>
      <c r="C47" s="10487" t="s">
        <v>2474</v>
      </c>
      <c r="D47" s="10487" t="s">
        <v>2475</v>
      </c>
      <c r="E47" s="10487" t="s">
        <v>2476</v>
      </c>
      <c r="F47" s="10487" t="s">
        <v>2477</v>
      </c>
      <c r="G47" s="10487" t="s">
        <v>24</v>
      </c>
      <c r="H47" s="10487" t="s">
        <v>24</v>
      </c>
      <c r="I47" s="10487" t="s">
        <v>860</v>
      </c>
    </row>
    <row r="48" spans="1:9" ht="11.25" customHeight="1">
      <c r="A48" s="10487" t="s">
        <v>2306</v>
      </c>
      <c r="B48" s="10487" t="s">
        <v>14</v>
      </c>
      <c r="C48" s="10487" t="s">
        <v>2478</v>
      </c>
      <c r="D48" s="10487" t="s">
        <v>2479</v>
      </c>
      <c r="E48" s="10487" t="s">
        <v>2480</v>
      </c>
      <c r="F48" s="10487" t="s">
        <v>2318</v>
      </c>
      <c r="G48" s="10487" t="s">
        <v>24</v>
      </c>
      <c r="H48" s="10487" t="s">
        <v>24</v>
      </c>
      <c r="I48" s="10487" t="s">
        <v>860</v>
      </c>
    </row>
    <row r="49" spans="1:9" ht="11.25" customHeight="1">
      <c r="A49" s="10487" t="s">
        <v>2306</v>
      </c>
      <c r="B49" s="10487" t="s">
        <v>14</v>
      </c>
      <c r="C49" s="10487" t="s">
        <v>2481</v>
      </c>
      <c r="D49" s="10487" t="s">
        <v>2482</v>
      </c>
      <c r="E49" s="10487" t="s">
        <v>2483</v>
      </c>
      <c r="F49" s="10487" t="s">
        <v>2318</v>
      </c>
      <c r="G49" s="10487" t="s">
        <v>24</v>
      </c>
      <c r="H49" s="10487" t="s">
        <v>24</v>
      </c>
      <c r="I49" s="10487" t="s">
        <v>860</v>
      </c>
    </row>
    <row r="50" spans="1:9" ht="11.25" customHeight="1">
      <c r="A50" s="10487" t="s">
        <v>2306</v>
      </c>
      <c r="B50" s="10487" t="s">
        <v>14</v>
      </c>
      <c r="C50" s="10487" t="s">
        <v>2484</v>
      </c>
      <c r="D50" s="10487" t="s">
        <v>2485</v>
      </c>
      <c r="E50" s="10487" t="s">
        <v>2486</v>
      </c>
      <c r="F50" s="10487" t="s">
        <v>2487</v>
      </c>
      <c r="G50" s="10487" t="s">
        <v>2488</v>
      </c>
      <c r="H50" s="10487" t="s">
        <v>24</v>
      </c>
      <c r="I50" s="10487" t="s">
        <v>860</v>
      </c>
    </row>
    <row r="51" spans="1:9" ht="11.25" customHeight="1">
      <c r="A51" s="10487" t="s">
        <v>2306</v>
      </c>
      <c r="B51" s="10487" t="s">
        <v>14</v>
      </c>
      <c r="C51" s="10487" t="s">
        <v>2489</v>
      </c>
      <c r="D51" s="10487" t="s">
        <v>2490</v>
      </c>
      <c r="E51" s="10487" t="s">
        <v>2491</v>
      </c>
      <c r="F51" s="10487" t="s">
        <v>2400</v>
      </c>
      <c r="G51" s="10487" t="s">
        <v>24</v>
      </c>
      <c r="H51" s="10487" t="s">
        <v>24</v>
      </c>
      <c r="I51" s="10487" t="s">
        <v>860</v>
      </c>
    </row>
    <row r="52" spans="1:9" ht="11.25" customHeight="1">
      <c r="A52" s="10487" t="s">
        <v>2306</v>
      </c>
      <c r="B52" s="10487" t="s">
        <v>14</v>
      </c>
      <c r="C52" s="10487" t="s">
        <v>2492</v>
      </c>
      <c r="D52" s="10487" t="s">
        <v>2493</v>
      </c>
      <c r="E52" s="10487" t="s">
        <v>2494</v>
      </c>
      <c r="F52" s="10487" t="s">
        <v>2405</v>
      </c>
      <c r="G52" s="10487" t="s">
        <v>24</v>
      </c>
      <c r="H52" s="10487" t="s">
        <v>24</v>
      </c>
      <c r="I52" s="10487" t="s">
        <v>860</v>
      </c>
    </row>
    <row r="53" spans="1:9" ht="11.25" customHeight="1">
      <c r="A53" s="10487" t="s">
        <v>2306</v>
      </c>
      <c r="B53" s="10487" t="s">
        <v>14</v>
      </c>
      <c r="C53" s="10487" t="s">
        <v>2495</v>
      </c>
      <c r="D53" s="10487" t="s">
        <v>2496</v>
      </c>
      <c r="E53" s="10487" t="s">
        <v>2497</v>
      </c>
      <c r="F53" s="10487" t="s">
        <v>2416</v>
      </c>
      <c r="G53" s="10487" t="s">
        <v>2498</v>
      </c>
      <c r="H53" s="10487" t="s">
        <v>24</v>
      </c>
      <c r="I53" s="10487" t="s">
        <v>860</v>
      </c>
    </row>
    <row r="54" spans="1:9" ht="11.25" customHeight="1">
      <c r="A54" s="10487" t="s">
        <v>2306</v>
      </c>
      <c r="B54" s="10487" t="s">
        <v>14</v>
      </c>
      <c r="C54" s="10487" t="s">
        <v>2499</v>
      </c>
      <c r="D54" s="10487" t="s">
        <v>2500</v>
      </c>
      <c r="E54" s="10487" t="s">
        <v>2501</v>
      </c>
      <c r="F54" s="10487" t="s">
        <v>2487</v>
      </c>
      <c r="G54" s="10487" t="s">
        <v>24</v>
      </c>
      <c r="H54" s="10487" t="s">
        <v>24</v>
      </c>
      <c r="I54" s="10487" t="s">
        <v>860</v>
      </c>
    </row>
    <row r="55" spans="1:9" ht="11.25" customHeight="1">
      <c r="A55" s="10487" t="s">
        <v>2306</v>
      </c>
      <c r="B55" s="10487" t="s">
        <v>14</v>
      </c>
      <c r="C55" s="10487" t="s">
        <v>2502</v>
      </c>
      <c r="D55" s="10487" t="s">
        <v>2503</v>
      </c>
      <c r="E55" s="10487" t="s">
        <v>2504</v>
      </c>
      <c r="F55" s="10487" t="s">
        <v>2505</v>
      </c>
      <c r="G55" s="10487" t="s">
        <v>2506</v>
      </c>
      <c r="H55" s="10487" t="s">
        <v>24</v>
      </c>
      <c r="I55" s="10487" t="s">
        <v>860</v>
      </c>
    </row>
    <row r="56" spans="1:9" ht="11.25" customHeight="1">
      <c r="A56" s="10487" t="s">
        <v>2306</v>
      </c>
      <c r="B56" s="10487" t="s">
        <v>14</v>
      </c>
      <c r="C56" s="10487" t="s">
        <v>2507</v>
      </c>
      <c r="D56" s="10487" t="s">
        <v>2508</v>
      </c>
      <c r="E56" s="10487" t="s">
        <v>2509</v>
      </c>
      <c r="F56" s="10487" t="s">
        <v>2510</v>
      </c>
      <c r="G56" s="10487" t="s">
        <v>24</v>
      </c>
      <c r="H56" s="10487" t="s">
        <v>24</v>
      </c>
      <c r="I56" s="10487" t="s">
        <v>860</v>
      </c>
    </row>
    <row r="57" spans="1:9" ht="11.25" customHeight="1">
      <c r="A57" s="10487" t="s">
        <v>2306</v>
      </c>
      <c r="B57" s="10487" t="s">
        <v>14</v>
      </c>
      <c r="C57" s="10487" t="s">
        <v>2511</v>
      </c>
      <c r="D57" s="10487" t="s">
        <v>2512</v>
      </c>
      <c r="E57" s="10487" t="s">
        <v>2513</v>
      </c>
      <c r="F57" s="10487" t="s">
        <v>2350</v>
      </c>
      <c r="G57" s="10487" t="s">
        <v>24</v>
      </c>
      <c r="H57" s="10487" t="s">
        <v>24</v>
      </c>
      <c r="I57" s="10487" t="s">
        <v>860</v>
      </c>
    </row>
    <row r="58" spans="1:9" ht="11.25" customHeight="1">
      <c r="A58" s="10487" t="s">
        <v>2306</v>
      </c>
      <c r="B58" s="10487" t="s">
        <v>14</v>
      </c>
      <c r="C58" s="10487" t="s">
        <v>2514</v>
      </c>
      <c r="D58" s="10487" t="s">
        <v>2515</v>
      </c>
      <c r="E58" s="10487" t="s">
        <v>2516</v>
      </c>
      <c r="F58" s="10487" t="s">
        <v>51</v>
      </c>
      <c r="G58" s="10487" t="s">
        <v>24</v>
      </c>
      <c r="H58" s="10487" t="s">
        <v>24</v>
      </c>
      <c r="I58" s="10487" t="s">
        <v>860</v>
      </c>
    </row>
    <row r="59" spans="1:9" ht="11.25" customHeight="1">
      <c r="A59" s="10487" t="s">
        <v>2306</v>
      </c>
      <c r="B59" s="10487" t="s">
        <v>14</v>
      </c>
      <c r="C59" s="10487" t="s">
        <v>2517</v>
      </c>
      <c r="D59" s="10487" t="s">
        <v>2518</v>
      </c>
      <c r="E59" s="10487" t="s">
        <v>2519</v>
      </c>
      <c r="F59" s="10487" t="s">
        <v>2520</v>
      </c>
      <c r="G59" s="10487" t="s">
        <v>2521</v>
      </c>
      <c r="H59" s="10487" t="s">
        <v>24</v>
      </c>
      <c r="I59" s="10487" t="s">
        <v>860</v>
      </c>
    </row>
    <row r="60" spans="1:9" ht="11.25" customHeight="1">
      <c r="A60" s="10487" t="s">
        <v>2306</v>
      </c>
      <c r="B60" s="10487" t="s">
        <v>14</v>
      </c>
      <c r="C60" s="10487" t="s">
        <v>2522</v>
      </c>
      <c r="D60" s="10487" t="s">
        <v>2523</v>
      </c>
      <c r="E60" s="10487" t="s">
        <v>2471</v>
      </c>
      <c r="F60" s="10487" t="s">
        <v>2524</v>
      </c>
      <c r="G60" s="10487" t="s">
        <v>24</v>
      </c>
      <c r="H60" s="10487" t="s">
        <v>24</v>
      </c>
      <c r="I60" s="10487" t="s">
        <v>860</v>
      </c>
    </row>
    <row r="61" spans="1:9" ht="11.25" customHeight="1">
      <c r="A61" s="10487" t="s">
        <v>2306</v>
      </c>
      <c r="B61" s="10487" t="s">
        <v>14</v>
      </c>
      <c r="C61" s="10487" t="s">
        <v>2525</v>
      </c>
      <c r="D61" s="10487" t="s">
        <v>2526</v>
      </c>
      <c r="E61" s="10487" t="s">
        <v>2527</v>
      </c>
      <c r="F61" s="10487" t="s">
        <v>51</v>
      </c>
      <c r="G61" s="10487" t="s">
        <v>24</v>
      </c>
      <c r="H61" s="10487" t="s">
        <v>24</v>
      </c>
      <c r="I61" s="10487" t="s">
        <v>860</v>
      </c>
    </row>
    <row r="62" spans="1:9" ht="11.25" customHeight="1">
      <c r="A62" s="10487" t="s">
        <v>2306</v>
      </c>
      <c r="B62" s="10487" t="s">
        <v>14</v>
      </c>
      <c r="C62" s="10487" t="s">
        <v>2528</v>
      </c>
      <c r="D62" s="10487" t="s">
        <v>2529</v>
      </c>
      <c r="E62" s="10487" t="s">
        <v>2519</v>
      </c>
      <c r="F62" s="10487" t="s">
        <v>2530</v>
      </c>
      <c r="G62" s="10487" t="s">
        <v>2531</v>
      </c>
      <c r="H62" s="10487" t="s">
        <v>24</v>
      </c>
      <c r="I62" s="10487" t="s">
        <v>860</v>
      </c>
    </row>
    <row r="63" spans="1:9" ht="11.25" customHeight="1">
      <c r="A63" s="10487" t="s">
        <v>2306</v>
      </c>
      <c r="B63" s="10487" t="s">
        <v>14</v>
      </c>
      <c r="C63" s="10487" t="s">
        <v>2532</v>
      </c>
      <c r="D63" s="10487" t="s">
        <v>2533</v>
      </c>
      <c r="E63" s="10487" t="s">
        <v>2534</v>
      </c>
      <c r="F63" s="10487" t="s">
        <v>2535</v>
      </c>
      <c r="G63" s="10487" t="s">
        <v>24</v>
      </c>
      <c r="H63" s="10487" t="s">
        <v>24</v>
      </c>
      <c r="I63" s="10487" t="s">
        <v>860</v>
      </c>
    </row>
    <row r="64" spans="1:9" ht="11.25" customHeight="1">
      <c r="A64" s="10487" t="s">
        <v>2306</v>
      </c>
      <c r="B64" s="10487" t="s">
        <v>14</v>
      </c>
      <c r="C64" s="10487" t="s">
        <v>2536</v>
      </c>
      <c r="D64" s="10487" t="s">
        <v>2537</v>
      </c>
      <c r="E64" s="10487" t="s">
        <v>2538</v>
      </c>
      <c r="F64" s="10487" t="s">
        <v>2539</v>
      </c>
      <c r="G64" s="10487" t="s">
        <v>2540</v>
      </c>
      <c r="H64" s="10487" t="s">
        <v>24</v>
      </c>
      <c r="I64" s="10487" t="s">
        <v>860</v>
      </c>
    </row>
    <row r="65" spans="1:9" ht="11.25" customHeight="1">
      <c r="A65" s="10487" t="s">
        <v>2306</v>
      </c>
      <c r="B65" s="10487" t="s">
        <v>14</v>
      </c>
      <c r="C65" s="10487" t="s">
        <v>2541</v>
      </c>
      <c r="D65" s="10487" t="s">
        <v>2542</v>
      </c>
      <c r="E65" s="10487" t="s">
        <v>2543</v>
      </c>
      <c r="F65" s="10487" t="s">
        <v>2539</v>
      </c>
      <c r="G65" s="10487" t="s">
        <v>24</v>
      </c>
      <c r="H65" s="10487" t="s">
        <v>24</v>
      </c>
      <c r="I65" s="10487" t="s">
        <v>860</v>
      </c>
    </row>
    <row r="66" spans="1:9" ht="11.25" customHeight="1">
      <c r="A66" s="10487" t="s">
        <v>2306</v>
      </c>
      <c r="B66" s="10487" t="s">
        <v>14</v>
      </c>
      <c r="C66" s="10487" t="s">
        <v>2544</v>
      </c>
      <c r="D66" s="10487" t="s">
        <v>2545</v>
      </c>
      <c r="E66" s="10487" t="s">
        <v>2546</v>
      </c>
      <c r="F66" s="10487" t="s">
        <v>2318</v>
      </c>
      <c r="G66" s="10487" t="s">
        <v>24</v>
      </c>
      <c r="H66" s="10487" t="s">
        <v>24</v>
      </c>
      <c r="I66" s="10487" t="s">
        <v>860</v>
      </c>
    </row>
    <row r="67" spans="1:9" ht="11.25" customHeight="1">
      <c r="A67" s="10487" t="s">
        <v>2306</v>
      </c>
      <c r="B67" s="10487" t="s">
        <v>14</v>
      </c>
      <c r="C67" s="10487" t="s">
        <v>2547</v>
      </c>
      <c r="D67" s="10487" t="s">
        <v>2548</v>
      </c>
      <c r="E67" s="10487" t="s">
        <v>2549</v>
      </c>
      <c r="F67" s="10487" t="s">
        <v>2477</v>
      </c>
      <c r="G67" s="10487" t="s">
        <v>24</v>
      </c>
      <c r="H67" s="10487" t="s">
        <v>24</v>
      </c>
      <c r="I67" s="10487" t="s">
        <v>860</v>
      </c>
    </row>
    <row r="68" spans="1:9" ht="11.25" customHeight="1">
      <c r="A68" s="10487" t="s">
        <v>2306</v>
      </c>
      <c r="B68" s="10487" t="s">
        <v>14</v>
      </c>
      <c r="C68" s="10487" t="s">
        <v>2307</v>
      </c>
      <c r="D68" s="10487" t="s">
        <v>2308</v>
      </c>
      <c r="E68" s="10487" t="s">
        <v>2309</v>
      </c>
      <c r="F68" s="10487" t="s">
        <v>2310</v>
      </c>
      <c r="G68" s="10487" t="s">
        <v>2311</v>
      </c>
      <c r="H68" s="10487" t="s">
        <v>24</v>
      </c>
      <c r="I68" s="10487" t="s">
        <v>947</v>
      </c>
    </row>
    <row r="69" spans="1:9" ht="11.25" customHeight="1">
      <c r="A69" s="10487" t="s">
        <v>2306</v>
      </c>
      <c r="B69" s="10487" t="s">
        <v>14</v>
      </c>
      <c r="C69" s="10487" t="s">
        <v>2312</v>
      </c>
      <c r="D69" s="10487" t="s">
        <v>2308</v>
      </c>
      <c r="E69" s="10487" t="s">
        <v>2309</v>
      </c>
      <c r="F69" s="10487" t="s">
        <v>2313</v>
      </c>
      <c r="G69" s="10487" t="s">
        <v>2314</v>
      </c>
      <c r="H69" s="10487" t="s">
        <v>24</v>
      </c>
      <c r="I69" s="10487" t="s">
        <v>947</v>
      </c>
    </row>
    <row r="70" spans="1:9" ht="11.25" customHeight="1">
      <c r="A70" s="10487" t="s">
        <v>2306</v>
      </c>
      <c r="B70" s="10487" t="s">
        <v>14</v>
      </c>
      <c r="C70" s="10487" t="s">
        <v>2323</v>
      </c>
      <c r="D70" s="10487" t="s">
        <v>2324</v>
      </c>
      <c r="E70" s="10487" t="s">
        <v>2325</v>
      </c>
      <c r="F70" s="10487" t="s">
        <v>2326</v>
      </c>
      <c r="G70" s="10487" t="s">
        <v>24</v>
      </c>
      <c r="H70" s="10487" t="s">
        <v>24</v>
      </c>
      <c r="I70" s="10487" t="s">
        <v>947</v>
      </c>
    </row>
    <row r="71" spans="1:9" ht="11.25" customHeight="1">
      <c r="A71" s="10487" t="s">
        <v>2306</v>
      </c>
      <c r="B71" s="10487" t="s">
        <v>14</v>
      </c>
      <c r="C71" s="10487" t="s">
        <v>2327</v>
      </c>
      <c r="D71" s="10487" t="s">
        <v>2328</v>
      </c>
      <c r="E71" s="10487" t="s">
        <v>2329</v>
      </c>
      <c r="F71" s="10487" t="s">
        <v>2326</v>
      </c>
      <c r="G71" s="10487" t="s">
        <v>2330</v>
      </c>
      <c r="H71" s="10487" t="s">
        <v>24</v>
      </c>
      <c r="I71" s="10487" t="s">
        <v>947</v>
      </c>
    </row>
    <row r="72" spans="1:9" ht="11.25" customHeight="1">
      <c r="A72" s="10487" t="s">
        <v>2306</v>
      </c>
      <c r="B72" s="10487" t="s">
        <v>14</v>
      </c>
      <c r="C72" s="10487" t="s">
        <v>2331</v>
      </c>
      <c r="D72" s="10487" t="s">
        <v>2332</v>
      </c>
      <c r="E72" s="10487" t="s">
        <v>2333</v>
      </c>
      <c r="F72" s="10487" t="s">
        <v>2334</v>
      </c>
      <c r="G72" s="10487" t="s">
        <v>24</v>
      </c>
      <c r="H72" s="10487" t="s">
        <v>24</v>
      </c>
      <c r="I72" s="10487" t="s">
        <v>947</v>
      </c>
    </row>
    <row r="73" spans="1:9" ht="11.25" customHeight="1">
      <c r="A73" s="10487" t="s">
        <v>2306</v>
      </c>
      <c r="B73" s="10487" t="s">
        <v>14</v>
      </c>
      <c r="C73" s="10487" t="s">
        <v>2335</v>
      </c>
      <c r="D73" s="10487" t="s">
        <v>2336</v>
      </c>
      <c r="E73" s="10487" t="s">
        <v>2337</v>
      </c>
      <c r="F73" s="10487" t="s">
        <v>51</v>
      </c>
      <c r="G73" s="10487" t="s">
        <v>24</v>
      </c>
      <c r="H73" s="10487" t="s">
        <v>24</v>
      </c>
      <c r="I73" s="10487" t="s">
        <v>947</v>
      </c>
    </row>
    <row r="74" spans="1:9" ht="11.25" customHeight="1">
      <c r="A74" s="10487" t="s">
        <v>2306</v>
      </c>
      <c r="B74" s="10487" t="s">
        <v>14</v>
      </c>
      <c r="C74" s="10487" t="s">
        <v>2342</v>
      </c>
      <c r="D74" s="10487" t="s">
        <v>46</v>
      </c>
      <c r="E74" s="10487" t="s">
        <v>49</v>
      </c>
      <c r="F74" s="10487" t="s">
        <v>51</v>
      </c>
      <c r="G74" s="10487" t="s">
        <v>24</v>
      </c>
      <c r="H74" s="10487" t="s">
        <v>24</v>
      </c>
      <c r="I74" s="10487" t="s">
        <v>947</v>
      </c>
    </row>
    <row r="75" spans="1:9" ht="11.25" customHeight="1">
      <c r="A75" s="10487" t="s">
        <v>2306</v>
      </c>
      <c r="B75" s="10487" t="s">
        <v>14</v>
      </c>
      <c r="C75" s="10487" t="s">
        <v>2347</v>
      </c>
      <c r="D75" s="10487" t="s">
        <v>2348</v>
      </c>
      <c r="E75" s="10487" t="s">
        <v>2349</v>
      </c>
      <c r="F75" s="10487" t="s">
        <v>2350</v>
      </c>
      <c r="G75" s="10487" t="s">
        <v>2351</v>
      </c>
      <c r="H75" s="10487" t="s">
        <v>24</v>
      </c>
      <c r="I75" s="10487" t="s">
        <v>947</v>
      </c>
    </row>
    <row r="76" spans="1:9" ht="11.25" customHeight="1">
      <c r="A76" s="10487" t="s">
        <v>2306</v>
      </c>
      <c r="B76" s="10487" t="s">
        <v>14</v>
      </c>
      <c r="C76" s="10487" t="s">
        <v>2352</v>
      </c>
      <c r="D76" s="10487" t="s">
        <v>2353</v>
      </c>
      <c r="E76" s="10487" t="s">
        <v>2354</v>
      </c>
      <c r="F76" s="10487" t="s">
        <v>2355</v>
      </c>
      <c r="G76" s="10487" t="s">
        <v>24</v>
      </c>
      <c r="H76" s="10487" t="s">
        <v>24</v>
      </c>
      <c r="I76" s="10487" t="s">
        <v>947</v>
      </c>
    </row>
    <row r="77" spans="1:9" ht="11.25" customHeight="1">
      <c r="A77" s="10487" t="s">
        <v>2306</v>
      </c>
      <c r="B77" s="10487" t="s">
        <v>14</v>
      </c>
      <c r="C77" s="10487" t="s">
        <v>2365</v>
      </c>
      <c r="D77" s="10487" t="s">
        <v>2366</v>
      </c>
      <c r="E77" s="10487" t="s">
        <v>2367</v>
      </c>
      <c r="F77" s="10487" t="s">
        <v>51</v>
      </c>
      <c r="G77" s="10487" t="s">
        <v>2368</v>
      </c>
      <c r="H77" s="10487" t="s">
        <v>24</v>
      </c>
      <c r="I77" s="10487" t="s">
        <v>947</v>
      </c>
    </row>
    <row r="78" spans="1:9" ht="11.25" customHeight="1">
      <c r="A78" s="10487" t="s">
        <v>2306</v>
      </c>
      <c r="B78" s="10487" t="s">
        <v>14</v>
      </c>
      <c r="C78" s="10487" t="s">
        <v>2376</v>
      </c>
      <c r="D78" s="10487" t="s">
        <v>2377</v>
      </c>
      <c r="E78" s="10487" t="s">
        <v>2378</v>
      </c>
      <c r="F78" s="10487" t="s">
        <v>51</v>
      </c>
      <c r="G78" s="10487" t="s">
        <v>2379</v>
      </c>
      <c r="H78" s="10487" t="s">
        <v>24</v>
      </c>
      <c r="I78" s="10487" t="s">
        <v>947</v>
      </c>
    </row>
    <row r="79" spans="1:9" ht="11.25" customHeight="1">
      <c r="A79" s="10487" t="s">
        <v>2306</v>
      </c>
      <c r="B79" s="10487" t="s">
        <v>14</v>
      </c>
      <c r="C79" s="10487" t="s">
        <v>24</v>
      </c>
      <c r="D79" s="10487" t="s">
        <v>2380</v>
      </c>
      <c r="E79" s="10487" t="s">
        <v>2381</v>
      </c>
      <c r="F79" s="10487" t="s">
        <v>51</v>
      </c>
      <c r="G79" s="10487" t="s">
        <v>24</v>
      </c>
      <c r="H79" s="10487" t="s">
        <v>24</v>
      </c>
      <c r="I79" s="10487" t="s">
        <v>947</v>
      </c>
    </row>
    <row r="80" spans="1:9" ht="11.25" customHeight="1">
      <c r="A80" s="10487" t="s">
        <v>2306</v>
      </c>
      <c r="B80" s="10487" t="s">
        <v>14</v>
      </c>
      <c r="C80" s="10487" t="s">
        <v>2382</v>
      </c>
      <c r="D80" s="10487" t="s">
        <v>2383</v>
      </c>
      <c r="E80" s="10487" t="s">
        <v>2384</v>
      </c>
      <c r="F80" s="10487" t="s">
        <v>2385</v>
      </c>
      <c r="G80" s="10487" t="s">
        <v>24</v>
      </c>
      <c r="H80" s="10487" t="s">
        <v>24</v>
      </c>
      <c r="I80" s="10487" t="s">
        <v>947</v>
      </c>
    </row>
    <row r="81" spans="1:9" ht="11.25" customHeight="1">
      <c r="A81" s="10487" t="s">
        <v>2306</v>
      </c>
      <c r="B81" s="10487" t="s">
        <v>14</v>
      </c>
      <c r="C81" s="10487" t="s">
        <v>2402</v>
      </c>
      <c r="D81" s="10487" t="s">
        <v>2403</v>
      </c>
      <c r="E81" s="10487" t="s">
        <v>2404</v>
      </c>
      <c r="F81" s="10487" t="s">
        <v>2405</v>
      </c>
      <c r="G81" s="10487" t="s">
        <v>24</v>
      </c>
      <c r="H81" s="10487" t="s">
        <v>24</v>
      </c>
      <c r="I81" s="10487" t="s">
        <v>947</v>
      </c>
    </row>
    <row r="82" spans="1:9" ht="11.25" customHeight="1">
      <c r="A82" s="10487" t="s">
        <v>2306</v>
      </c>
      <c r="B82" s="10487" t="s">
        <v>14</v>
      </c>
      <c r="C82" s="10487" t="s">
        <v>2409</v>
      </c>
      <c r="D82" s="10487" t="s">
        <v>2410</v>
      </c>
      <c r="E82" s="10487" t="s">
        <v>2411</v>
      </c>
      <c r="F82" s="10487" t="s">
        <v>2412</v>
      </c>
      <c r="G82" s="10487" t="s">
        <v>24</v>
      </c>
      <c r="H82" s="10487" t="s">
        <v>24</v>
      </c>
      <c r="I82" s="10487" t="s">
        <v>947</v>
      </c>
    </row>
    <row r="83" spans="1:9" ht="11.25" customHeight="1">
      <c r="A83" s="10487" t="s">
        <v>2306</v>
      </c>
      <c r="B83" s="10487" t="s">
        <v>14</v>
      </c>
      <c r="C83" s="10487" t="s">
        <v>2413</v>
      </c>
      <c r="D83" s="10487" t="s">
        <v>2414</v>
      </c>
      <c r="E83" s="10487" t="s">
        <v>2415</v>
      </c>
      <c r="F83" s="10487" t="s">
        <v>2416</v>
      </c>
      <c r="G83" s="10487" t="s">
        <v>24</v>
      </c>
      <c r="H83" s="10487" t="s">
        <v>24</v>
      </c>
      <c r="I83" s="10487" t="s">
        <v>947</v>
      </c>
    </row>
    <row r="84" spans="1:9" ht="11.25" customHeight="1">
      <c r="A84" s="10487" t="s">
        <v>2306</v>
      </c>
      <c r="B84" s="10487" t="s">
        <v>14</v>
      </c>
      <c r="C84" s="10487" t="s">
        <v>2417</v>
      </c>
      <c r="D84" s="10487" t="s">
        <v>2418</v>
      </c>
      <c r="E84" s="10487" t="s">
        <v>2419</v>
      </c>
      <c r="F84" s="10487" t="s">
        <v>2318</v>
      </c>
      <c r="G84" s="10487" t="s">
        <v>24</v>
      </c>
      <c r="H84" s="10487" t="s">
        <v>24</v>
      </c>
      <c r="I84" s="10487" t="s">
        <v>947</v>
      </c>
    </row>
    <row r="85" spans="1:9" ht="11.25" customHeight="1">
      <c r="A85" s="10487" t="s">
        <v>2306</v>
      </c>
      <c r="B85" s="10487" t="s">
        <v>14</v>
      </c>
      <c r="C85" s="10487" t="s">
        <v>2420</v>
      </c>
      <c r="D85" s="10487" t="s">
        <v>2421</v>
      </c>
      <c r="E85" s="10487" t="s">
        <v>2422</v>
      </c>
      <c r="F85" s="10487" t="s">
        <v>2359</v>
      </c>
      <c r="G85" s="10487" t="s">
        <v>24</v>
      </c>
      <c r="H85" s="10487" t="s">
        <v>24</v>
      </c>
      <c r="I85" s="10487" t="s">
        <v>947</v>
      </c>
    </row>
    <row r="86" spans="1:9" ht="11.25" customHeight="1">
      <c r="A86" s="10487" t="s">
        <v>2306</v>
      </c>
      <c r="B86" s="10487" t="s">
        <v>14</v>
      </c>
      <c r="C86" s="10487" t="s">
        <v>2423</v>
      </c>
      <c r="D86" s="10487" t="s">
        <v>2424</v>
      </c>
      <c r="E86" s="10487" t="s">
        <v>2425</v>
      </c>
      <c r="F86" s="10487" t="s">
        <v>2318</v>
      </c>
      <c r="G86" s="10487" t="s">
        <v>24</v>
      </c>
      <c r="H86" s="10487" t="s">
        <v>24</v>
      </c>
      <c r="I86" s="10487" t="s">
        <v>947</v>
      </c>
    </row>
    <row r="87" spans="1:9" ht="11.25" customHeight="1">
      <c r="A87" s="10487" t="s">
        <v>2306</v>
      </c>
      <c r="B87" s="10487" t="s">
        <v>14</v>
      </c>
      <c r="C87" s="10487" t="s">
        <v>2426</v>
      </c>
      <c r="D87" s="10487" t="s">
        <v>2427</v>
      </c>
      <c r="E87" s="10487" t="s">
        <v>2428</v>
      </c>
      <c r="F87" s="10487" t="s">
        <v>51</v>
      </c>
      <c r="G87" s="10487" t="s">
        <v>24</v>
      </c>
      <c r="H87" s="10487" t="s">
        <v>24</v>
      </c>
      <c r="I87" s="10487" t="s">
        <v>947</v>
      </c>
    </row>
    <row r="88" spans="1:9" ht="11.25" customHeight="1">
      <c r="A88" s="10487" t="s">
        <v>2306</v>
      </c>
      <c r="B88" s="10487" t="s">
        <v>14</v>
      </c>
      <c r="C88" s="10487" t="s">
        <v>2440</v>
      </c>
      <c r="D88" s="10487" t="s">
        <v>2441</v>
      </c>
      <c r="E88" s="10487" t="s">
        <v>2442</v>
      </c>
      <c r="F88" s="10487" t="s">
        <v>2385</v>
      </c>
      <c r="G88" s="10487" t="s">
        <v>24</v>
      </c>
      <c r="H88" s="10487" t="s">
        <v>24</v>
      </c>
      <c r="I88" s="10487" t="s">
        <v>947</v>
      </c>
    </row>
    <row r="89" spans="1:9" ht="11.25" customHeight="1">
      <c r="A89" s="10487" t="s">
        <v>2306</v>
      </c>
      <c r="B89" s="10487" t="s">
        <v>14</v>
      </c>
      <c r="C89" s="10487" t="s">
        <v>2443</v>
      </c>
      <c r="D89" s="10487" t="s">
        <v>2444</v>
      </c>
      <c r="E89" s="10487" t="s">
        <v>2445</v>
      </c>
      <c r="F89" s="10487" t="s">
        <v>2318</v>
      </c>
      <c r="G89" s="10487" t="s">
        <v>24</v>
      </c>
      <c r="H89" s="10487" t="s">
        <v>24</v>
      </c>
      <c r="I89" s="10487" t="s">
        <v>947</v>
      </c>
    </row>
    <row r="90" spans="1:9" ht="11.25" customHeight="1">
      <c r="A90" s="10487" t="s">
        <v>2306</v>
      </c>
      <c r="B90" s="10487" t="s">
        <v>14</v>
      </c>
      <c r="C90" s="10487" t="s">
        <v>2446</v>
      </c>
      <c r="D90" s="10487" t="s">
        <v>2447</v>
      </c>
      <c r="E90" s="10487" t="s">
        <v>2448</v>
      </c>
      <c r="F90" s="10487" t="s">
        <v>2359</v>
      </c>
      <c r="G90" s="10487" t="s">
        <v>24</v>
      </c>
      <c r="H90" s="10487" t="s">
        <v>24</v>
      </c>
      <c r="I90" s="10487" t="s">
        <v>947</v>
      </c>
    </row>
    <row r="91" spans="1:9" ht="11.25" customHeight="1">
      <c r="A91" s="10487" t="s">
        <v>2306</v>
      </c>
      <c r="B91" s="10487" t="s">
        <v>14</v>
      </c>
      <c r="C91" s="10487" t="s">
        <v>2449</v>
      </c>
      <c r="D91" s="10487" t="s">
        <v>2450</v>
      </c>
      <c r="E91" s="10487" t="s">
        <v>2451</v>
      </c>
      <c r="F91" s="10487" t="s">
        <v>2452</v>
      </c>
      <c r="G91" s="10487" t="s">
        <v>24</v>
      </c>
      <c r="H91" s="10487" t="s">
        <v>24</v>
      </c>
      <c r="I91" s="10487" t="s">
        <v>947</v>
      </c>
    </row>
    <row r="92" spans="1:9" ht="11.25" customHeight="1">
      <c r="A92" s="10487" t="s">
        <v>2306</v>
      </c>
      <c r="B92" s="10487" t="s">
        <v>14</v>
      </c>
      <c r="C92" s="10487" t="s">
        <v>2461</v>
      </c>
      <c r="D92" s="10487" t="s">
        <v>2462</v>
      </c>
      <c r="E92" s="10487" t="s">
        <v>2463</v>
      </c>
      <c r="F92" s="10487" t="s">
        <v>2318</v>
      </c>
      <c r="G92" s="10487" t="s">
        <v>24</v>
      </c>
      <c r="H92" s="10487" t="s">
        <v>24</v>
      </c>
      <c r="I92" s="10487" t="s">
        <v>947</v>
      </c>
    </row>
    <row r="93" spans="1:9" ht="11.25" customHeight="1">
      <c r="A93" s="10487" t="s">
        <v>2306</v>
      </c>
      <c r="B93" s="10487" t="s">
        <v>14</v>
      </c>
      <c r="C93" s="10487" t="s">
        <v>2464</v>
      </c>
      <c r="D93" s="10487" t="s">
        <v>2465</v>
      </c>
      <c r="E93" s="10487" t="s">
        <v>2466</v>
      </c>
      <c r="F93" s="10487" t="s">
        <v>2467</v>
      </c>
      <c r="G93" s="10487" t="s">
        <v>2468</v>
      </c>
      <c r="H93" s="10487" t="s">
        <v>24</v>
      </c>
      <c r="I93" s="10487" t="s">
        <v>947</v>
      </c>
    </row>
    <row r="94" spans="1:9" ht="11.25" customHeight="1">
      <c r="A94" s="10487" t="s">
        <v>2306</v>
      </c>
      <c r="B94" s="10487" t="s">
        <v>14</v>
      </c>
      <c r="C94" s="10487" t="s">
        <v>2474</v>
      </c>
      <c r="D94" s="10487" t="s">
        <v>2475</v>
      </c>
      <c r="E94" s="10487" t="s">
        <v>2476</v>
      </c>
      <c r="F94" s="10487" t="s">
        <v>2477</v>
      </c>
      <c r="G94" s="10487" t="s">
        <v>24</v>
      </c>
      <c r="H94" s="10487" t="s">
        <v>24</v>
      </c>
      <c r="I94" s="10487" t="s">
        <v>947</v>
      </c>
    </row>
    <row r="95" spans="1:9" ht="11.25" customHeight="1">
      <c r="A95" s="10487" t="s">
        <v>2306</v>
      </c>
      <c r="B95" s="10487" t="s">
        <v>14</v>
      </c>
      <c r="C95" s="10487" t="s">
        <v>2478</v>
      </c>
      <c r="D95" s="10487" t="s">
        <v>2479</v>
      </c>
      <c r="E95" s="10487" t="s">
        <v>2480</v>
      </c>
      <c r="F95" s="10487" t="s">
        <v>2318</v>
      </c>
      <c r="G95" s="10487" t="s">
        <v>24</v>
      </c>
      <c r="H95" s="10487" t="s">
        <v>24</v>
      </c>
      <c r="I95" s="10487" t="s">
        <v>947</v>
      </c>
    </row>
    <row r="96" spans="1:9" ht="11.25" customHeight="1">
      <c r="A96" s="10487" t="s">
        <v>2306</v>
      </c>
      <c r="B96" s="10487" t="s">
        <v>14</v>
      </c>
      <c r="C96" s="10487" t="s">
        <v>2481</v>
      </c>
      <c r="D96" s="10487" t="s">
        <v>2482</v>
      </c>
      <c r="E96" s="10487" t="s">
        <v>2483</v>
      </c>
      <c r="F96" s="10487" t="s">
        <v>2318</v>
      </c>
      <c r="G96" s="10487" t="s">
        <v>24</v>
      </c>
      <c r="H96" s="10487" t="s">
        <v>24</v>
      </c>
      <c r="I96" s="10487" t="s">
        <v>947</v>
      </c>
    </row>
    <row r="97" spans="1:9" ht="11.25" customHeight="1">
      <c r="A97" s="10487" t="s">
        <v>2306</v>
      </c>
      <c r="B97" s="10487" t="s">
        <v>14</v>
      </c>
      <c r="C97" s="10487" t="s">
        <v>2484</v>
      </c>
      <c r="D97" s="10487" t="s">
        <v>2485</v>
      </c>
      <c r="E97" s="10487" t="s">
        <v>2486</v>
      </c>
      <c r="F97" s="10487" t="s">
        <v>2487</v>
      </c>
      <c r="G97" s="10487" t="s">
        <v>2488</v>
      </c>
      <c r="H97" s="10487" t="s">
        <v>24</v>
      </c>
      <c r="I97" s="10487" t="s">
        <v>947</v>
      </c>
    </row>
    <row r="98" spans="1:9" ht="11.25" customHeight="1">
      <c r="A98" s="10487" t="s">
        <v>2306</v>
      </c>
      <c r="B98" s="10487" t="s">
        <v>14</v>
      </c>
      <c r="C98" s="10487" t="s">
        <v>2489</v>
      </c>
      <c r="D98" s="10487" t="s">
        <v>2490</v>
      </c>
      <c r="E98" s="10487" t="s">
        <v>2491</v>
      </c>
      <c r="F98" s="10487" t="s">
        <v>2400</v>
      </c>
      <c r="G98" s="10487" t="s">
        <v>24</v>
      </c>
      <c r="H98" s="10487" t="s">
        <v>24</v>
      </c>
      <c r="I98" s="10487" t="s">
        <v>947</v>
      </c>
    </row>
    <row r="99" spans="1:9" ht="11.25" customHeight="1">
      <c r="A99" s="10487" t="s">
        <v>2306</v>
      </c>
      <c r="B99" s="10487" t="s">
        <v>14</v>
      </c>
      <c r="C99" s="10487" t="s">
        <v>2495</v>
      </c>
      <c r="D99" s="10487" t="s">
        <v>2496</v>
      </c>
      <c r="E99" s="10487" t="s">
        <v>2497</v>
      </c>
      <c r="F99" s="10487" t="s">
        <v>2416</v>
      </c>
      <c r="G99" s="10487" t="s">
        <v>2498</v>
      </c>
      <c r="H99" s="10487" t="s">
        <v>24</v>
      </c>
      <c r="I99" s="10487" t="s">
        <v>947</v>
      </c>
    </row>
    <row r="100" spans="1:9" ht="11.25" customHeight="1">
      <c r="A100" s="10487" t="s">
        <v>2306</v>
      </c>
      <c r="B100" s="10487" t="s">
        <v>14</v>
      </c>
      <c r="C100" s="10487" t="s">
        <v>2499</v>
      </c>
      <c r="D100" s="10487" t="s">
        <v>2500</v>
      </c>
      <c r="E100" s="10487" t="s">
        <v>2501</v>
      </c>
      <c r="F100" s="10487" t="s">
        <v>2487</v>
      </c>
      <c r="G100" s="10487" t="s">
        <v>24</v>
      </c>
      <c r="H100" s="10487" t="s">
        <v>24</v>
      </c>
      <c r="I100" s="10487" t="s">
        <v>947</v>
      </c>
    </row>
    <row r="101" spans="1:9" ht="11.25" customHeight="1">
      <c r="A101" s="10487" t="s">
        <v>2306</v>
      </c>
      <c r="B101" s="10487" t="s">
        <v>14</v>
      </c>
      <c r="C101" s="10487" t="s">
        <v>2507</v>
      </c>
      <c r="D101" s="10487" t="s">
        <v>2508</v>
      </c>
      <c r="E101" s="10487" t="s">
        <v>2509</v>
      </c>
      <c r="F101" s="10487" t="s">
        <v>2510</v>
      </c>
      <c r="G101" s="10487" t="s">
        <v>24</v>
      </c>
      <c r="H101" s="10487" t="s">
        <v>24</v>
      </c>
      <c r="I101" s="10487" t="s">
        <v>947</v>
      </c>
    </row>
    <row r="102" spans="1:9" ht="11.25" customHeight="1">
      <c r="A102" s="10487" t="s">
        <v>2306</v>
      </c>
      <c r="B102" s="10487" t="s">
        <v>14</v>
      </c>
      <c r="C102" s="10487" t="s">
        <v>2511</v>
      </c>
      <c r="D102" s="10487" t="s">
        <v>2512</v>
      </c>
      <c r="E102" s="10487" t="s">
        <v>2513</v>
      </c>
      <c r="F102" s="10487" t="s">
        <v>2350</v>
      </c>
      <c r="G102" s="10487" t="s">
        <v>24</v>
      </c>
      <c r="H102" s="10487" t="s">
        <v>24</v>
      </c>
      <c r="I102" s="10487" t="s">
        <v>947</v>
      </c>
    </row>
    <row r="103" spans="1:9" ht="11.25" customHeight="1">
      <c r="A103" s="10487" t="s">
        <v>2306</v>
      </c>
      <c r="B103" s="10487" t="s">
        <v>14</v>
      </c>
      <c r="C103" s="10487" t="s">
        <v>2514</v>
      </c>
      <c r="D103" s="10487" t="s">
        <v>2515</v>
      </c>
      <c r="E103" s="10487" t="s">
        <v>2516</v>
      </c>
      <c r="F103" s="10487" t="s">
        <v>51</v>
      </c>
      <c r="G103" s="10487" t="s">
        <v>24</v>
      </c>
      <c r="H103" s="10487" t="s">
        <v>24</v>
      </c>
      <c r="I103" s="10487" t="s">
        <v>947</v>
      </c>
    </row>
    <row r="104" spans="1:9" ht="11.25" customHeight="1">
      <c r="A104" s="10487" t="s">
        <v>2306</v>
      </c>
      <c r="B104" s="10487" t="s">
        <v>14</v>
      </c>
      <c r="C104" s="10487" t="s">
        <v>2517</v>
      </c>
      <c r="D104" s="10487" t="s">
        <v>2518</v>
      </c>
      <c r="E104" s="10487" t="s">
        <v>2519</v>
      </c>
      <c r="F104" s="10487" t="s">
        <v>2520</v>
      </c>
      <c r="G104" s="10487" t="s">
        <v>2521</v>
      </c>
      <c r="H104" s="10487" t="s">
        <v>24</v>
      </c>
      <c r="I104" s="10487" t="s">
        <v>947</v>
      </c>
    </row>
    <row r="105" spans="1:9" ht="11.25" customHeight="1">
      <c r="A105" s="10487" t="s">
        <v>2306</v>
      </c>
      <c r="B105" s="10487" t="s">
        <v>14</v>
      </c>
      <c r="C105" s="10487" t="s">
        <v>2525</v>
      </c>
      <c r="D105" s="10487" t="s">
        <v>2526</v>
      </c>
      <c r="E105" s="10487" t="s">
        <v>2527</v>
      </c>
      <c r="F105" s="10487" t="s">
        <v>51</v>
      </c>
      <c r="G105" s="10487" t="s">
        <v>24</v>
      </c>
      <c r="H105" s="10487" t="s">
        <v>24</v>
      </c>
      <c r="I105" s="10487" t="s">
        <v>947</v>
      </c>
    </row>
    <row r="106" spans="1:9" ht="11.25" customHeight="1">
      <c r="A106" s="10487" t="s">
        <v>2306</v>
      </c>
      <c r="B106" s="10487" t="s">
        <v>14</v>
      </c>
      <c r="C106" s="10487" t="s">
        <v>2528</v>
      </c>
      <c r="D106" s="10487" t="s">
        <v>2529</v>
      </c>
      <c r="E106" s="10487" t="s">
        <v>2519</v>
      </c>
      <c r="F106" s="10487" t="s">
        <v>2530</v>
      </c>
      <c r="G106" s="10487" t="s">
        <v>2531</v>
      </c>
      <c r="H106" s="10487" t="s">
        <v>24</v>
      </c>
      <c r="I106" s="10487" t="s">
        <v>947</v>
      </c>
    </row>
    <row r="107" spans="1:9" ht="11.25" customHeight="1">
      <c r="A107" s="10487" t="s">
        <v>2306</v>
      </c>
      <c r="B107" s="10487" t="s">
        <v>14</v>
      </c>
      <c r="C107" s="10487" t="s">
        <v>2532</v>
      </c>
      <c r="D107" s="10487" t="s">
        <v>2533</v>
      </c>
      <c r="E107" s="10487" t="s">
        <v>2534</v>
      </c>
      <c r="F107" s="10487" t="s">
        <v>2535</v>
      </c>
      <c r="G107" s="10487" t="s">
        <v>24</v>
      </c>
      <c r="H107" s="10487" t="s">
        <v>24</v>
      </c>
      <c r="I107" s="10487" t="s">
        <v>947</v>
      </c>
    </row>
    <row r="108" spans="1:9" ht="11.25" customHeight="1">
      <c r="A108" s="10487" t="s">
        <v>2306</v>
      </c>
      <c r="B108" s="10487" t="s">
        <v>14</v>
      </c>
      <c r="C108" s="10487" t="s">
        <v>2541</v>
      </c>
      <c r="D108" s="10487" t="s">
        <v>2542</v>
      </c>
      <c r="E108" s="10487" t="s">
        <v>2543</v>
      </c>
      <c r="F108" s="10487" t="s">
        <v>2539</v>
      </c>
      <c r="G108" s="10487" t="s">
        <v>24</v>
      </c>
      <c r="H108" s="10487" t="s">
        <v>24</v>
      </c>
      <c r="I108" s="10487" t="s">
        <v>947</v>
      </c>
    </row>
    <row r="109" spans="1:9" ht="11.25" customHeight="1">
      <c r="A109" s="10487" t="s">
        <v>2306</v>
      </c>
      <c r="B109" s="10487" t="s">
        <v>14</v>
      </c>
      <c r="C109" s="10487" t="s">
        <v>2307</v>
      </c>
      <c r="D109" s="10487" t="s">
        <v>2308</v>
      </c>
      <c r="E109" s="10487" t="s">
        <v>2309</v>
      </c>
      <c r="F109" s="10487" t="s">
        <v>2310</v>
      </c>
      <c r="G109" s="10487" t="s">
        <v>2311</v>
      </c>
      <c r="H109" s="10487" t="s">
        <v>24</v>
      </c>
      <c r="I109" s="10487" t="s">
        <v>906</v>
      </c>
    </row>
    <row r="110" spans="1:9" ht="11.25" customHeight="1">
      <c r="A110" s="10487" t="s">
        <v>2306</v>
      </c>
      <c r="B110" s="10487" t="s">
        <v>14</v>
      </c>
      <c r="C110" s="10487" t="s">
        <v>2312</v>
      </c>
      <c r="D110" s="10487" t="s">
        <v>2308</v>
      </c>
      <c r="E110" s="10487" t="s">
        <v>2309</v>
      </c>
      <c r="F110" s="10487" t="s">
        <v>2313</v>
      </c>
      <c r="G110" s="10487" t="s">
        <v>2314</v>
      </c>
      <c r="H110" s="10487" t="s">
        <v>24</v>
      </c>
      <c r="I110" s="10487" t="s">
        <v>906</v>
      </c>
    </row>
    <row r="111" spans="1:9" ht="11.25" customHeight="1">
      <c r="A111" s="10487" t="s">
        <v>2306</v>
      </c>
      <c r="B111" s="10487" t="s">
        <v>14</v>
      </c>
      <c r="C111" s="10487" t="s">
        <v>2550</v>
      </c>
      <c r="D111" s="10487" t="s">
        <v>2551</v>
      </c>
      <c r="E111" s="10487" t="s">
        <v>2552</v>
      </c>
      <c r="F111" s="10487" t="s">
        <v>2372</v>
      </c>
      <c r="G111" s="10487" t="s">
        <v>2553</v>
      </c>
      <c r="H111" s="10487" t="s">
        <v>24</v>
      </c>
      <c r="I111" s="10487" t="s">
        <v>906</v>
      </c>
    </row>
    <row r="112" spans="1:9" ht="11.25" customHeight="1">
      <c r="A112" s="10487" t="s">
        <v>2306</v>
      </c>
      <c r="B112" s="10487" t="s">
        <v>14</v>
      </c>
      <c r="C112" s="10487" t="s">
        <v>2315</v>
      </c>
      <c r="D112" s="10487" t="s">
        <v>2316</v>
      </c>
      <c r="E112" s="10487" t="s">
        <v>2317</v>
      </c>
      <c r="F112" s="10487" t="s">
        <v>2318</v>
      </c>
      <c r="G112" s="10487" t="s">
        <v>24</v>
      </c>
      <c r="H112" s="10487" t="s">
        <v>24</v>
      </c>
      <c r="I112" s="10487" t="s">
        <v>906</v>
      </c>
    </row>
    <row r="113" spans="1:9" ht="11.25" customHeight="1">
      <c r="A113" s="10487" t="s">
        <v>2306</v>
      </c>
      <c r="B113" s="10487" t="s">
        <v>14</v>
      </c>
      <c r="C113" s="10487" t="s">
        <v>2554</v>
      </c>
      <c r="D113" s="10487" t="s">
        <v>2555</v>
      </c>
      <c r="E113" s="10487" t="s">
        <v>2556</v>
      </c>
      <c r="F113" s="10487" t="s">
        <v>2318</v>
      </c>
      <c r="G113" s="10487" t="s">
        <v>2557</v>
      </c>
      <c r="H113" s="10487" t="s">
        <v>24</v>
      </c>
      <c r="I113" s="10487" t="s">
        <v>906</v>
      </c>
    </row>
    <row r="114" spans="1:9" ht="11.25" customHeight="1">
      <c r="A114" s="10487" t="s">
        <v>2306</v>
      </c>
      <c r="B114" s="10487" t="s">
        <v>14</v>
      </c>
      <c r="C114" s="10487" t="s">
        <v>2327</v>
      </c>
      <c r="D114" s="10487" t="s">
        <v>2328</v>
      </c>
      <c r="E114" s="10487" t="s">
        <v>2329</v>
      </c>
      <c r="F114" s="10487" t="s">
        <v>2326</v>
      </c>
      <c r="G114" s="10487" t="s">
        <v>2330</v>
      </c>
      <c r="H114" s="10487" t="s">
        <v>24</v>
      </c>
      <c r="I114" s="10487" t="s">
        <v>906</v>
      </c>
    </row>
    <row r="115" spans="1:9" ht="11.25" customHeight="1">
      <c r="A115" s="10487" t="s">
        <v>2306</v>
      </c>
      <c r="B115" s="10487" t="s">
        <v>14</v>
      </c>
      <c r="C115" s="10487" t="s">
        <v>2558</v>
      </c>
      <c r="D115" s="10487" t="s">
        <v>2559</v>
      </c>
      <c r="E115" s="10487" t="s">
        <v>2560</v>
      </c>
      <c r="F115" s="10487" t="s">
        <v>2334</v>
      </c>
      <c r="G115" s="10487" t="s">
        <v>2561</v>
      </c>
      <c r="H115" s="10487" t="s">
        <v>24</v>
      </c>
      <c r="I115" s="10487" t="s">
        <v>906</v>
      </c>
    </row>
    <row r="116" spans="1:9" ht="11.25" customHeight="1">
      <c r="A116" s="10487" t="s">
        <v>2306</v>
      </c>
      <c r="B116" s="10487" t="s">
        <v>14</v>
      </c>
      <c r="C116" s="10487" t="s">
        <v>2338</v>
      </c>
      <c r="D116" s="10487" t="s">
        <v>2339</v>
      </c>
      <c r="E116" s="10487" t="s">
        <v>2340</v>
      </c>
      <c r="F116" s="10487" t="s">
        <v>51</v>
      </c>
      <c r="G116" s="10487" t="s">
        <v>2341</v>
      </c>
      <c r="H116" s="10487" t="s">
        <v>24</v>
      </c>
      <c r="I116" s="10487" t="s">
        <v>906</v>
      </c>
    </row>
    <row r="117" spans="1:9" ht="11.25" customHeight="1">
      <c r="A117" s="10487" t="s">
        <v>2306</v>
      </c>
      <c r="B117" s="10487" t="s">
        <v>14</v>
      </c>
      <c r="C117" s="10487" t="s">
        <v>2343</v>
      </c>
      <c r="D117" s="10487" t="s">
        <v>2344</v>
      </c>
      <c r="E117" s="10487" t="s">
        <v>2345</v>
      </c>
      <c r="F117" s="10487" t="s">
        <v>2346</v>
      </c>
      <c r="G117" s="10487" t="s">
        <v>24</v>
      </c>
      <c r="H117" s="10487" t="s">
        <v>24</v>
      </c>
      <c r="I117" s="10487" t="s">
        <v>906</v>
      </c>
    </row>
    <row r="118" spans="1:9" ht="11.25" customHeight="1">
      <c r="A118" s="10487" t="s">
        <v>2306</v>
      </c>
      <c r="B118" s="10487" t="s">
        <v>14</v>
      </c>
      <c r="C118" s="10487" t="s">
        <v>2347</v>
      </c>
      <c r="D118" s="10487" t="s">
        <v>2348</v>
      </c>
      <c r="E118" s="10487" t="s">
        <v>2349</v>
      </c>
      <c r="F118" s="10487" t="s">
        <v>2350</v>
      </c>
      <c r="G118" s="10487" t="s">
        <v>2351</v>
      </c>
      <c r="H118" s="10487" t="s">
        <v>24</v>
      </c>
      <c r="I118" s="10487" t="s">
        <v>906</v>
      </c>
    </row>
    <row r="119" spans="1:9" ht="11.25" customHeight="1">
      <c r="A119" s="10487" t="s">
        <v>2306</v>
      </c>
      <c r="B119" s="10487" t="s">
        <v>14</v>
      </c>
      <c r="C119" s="10487" t="s">
        <v>2562</v>
      </c>
      <c r="D119" s="10487" t="s">
        <v>2563</v>
      </c>
      <c r="E119" s="10487" t="s">
        <v>2363</v>
      </c>
      <c r="F119" s="10487" t="s">
        <v>2539</v>
      </c>
      <c r="G119" s="10487" t="s">
        <v>2564</v>
      </c>
      <c r="H119" s="10487" t="s">
        <v>24</v>
      </c>
      <c r="I119" s="10487" t="s">
        <v>906</v>
      </c>
    </row>
    <row r="120" spans="1:9" ht="11.25" customHeight="1">
      <c r="A120" s="10487" t="s">
        <v>2306</v>
      </c>
      <c r="B120" s="10487" t="s">
        <v>14</v>
      </c>
      <c r="C120" s="10487" t="s">
        <v>2365</v>
      </c>
      <c r="D120" s="10487" t="s">
        <v>2366</v>
      </c>
      <c r="E120" s="10487" t="s">
        <v>2367</v>
      </c>
      <c r="F120" s="10487" t="s">
        <v>51</v>
      </c>
      <c r="G120" s="10487" t="s">
        <v>2368</v>
      </c>
      <c r="H120" s="10487" t="s">
        <v>24</v>
      </c>
      <c r="I120" s="10487" t="s">
        <v>906</v>
      </c>
    </row>
    <row r="121" spans="1:9" ht="11.25" customHeight="1">
      <c r="A121" s="10487" t="s">
        <v>2306</v>
      </c>
      <c r="B121" s="10487" t="s">
        <v>14</v>
      </c>
      <c r="C121" s="10487" t="s">
        <v>2565</v>
      </c>
      <c r="D121" s="10487" t="s">
        <v>2566</v>
      </c>
      <c r="E121" s="10487" t="s">
        <v>2567</v>
      </c>
      <c r="F121" s="10487" t="s">
        <v>2400</v>
      </c>
      <c r="G121" s="10487" t="s">
        <v>2568</v>
      </c>
      <c r="H121" s="10487" t="s">
        <v>24</v>
      </c>
      <c r="I121" s="10487" t="s">
        <v>906</v>
      </c>
    </row>
    <row r="122" spans="1:9" ht="11.25" customHeight="1">
      <c r="A122" s="10487" t="s">
        <v>2306</v>
      </c>
      <c r="B122" s="10487" t="s">
        <v>14</v>
      </c>
      <c r="C122" s="10487" t="s">
        <v>2376</v>
      </c>
      <c r="D122" s="10487" t="s">
        <v>2377</v>
      </c>
      <c r="E122" s="10487" t="s">
        <v>2378</v>
      </c>
      <c r="F122" s="10487" t="s">
        <v>51</v>
      </c>
      <c r="G122" s="10487" t="s">
        <v>2379</v>
      </c>
      <c r="H122" s="10487" t="s">
        <v>24</v>
      </c>
      <c r="I122" s="10487" t="s">
        <v>906</v>
      </c>
    </row>
    <row r="123" spans="1:9" ht="11.25" customHeight="1">
      <c r="A123" s="10487" t="s">
        <v>2306</v>
      </c>
      <c r="B123" s="10487" t="s">
        <v>14</v>
      </c>
      <c r="C123" s="10487" t="s">
        <v>24</v>
      </c>
      <c r="D123" s="10487" t="s">
        <v>2380</v>
      </c>
      <c r="E123" s="10487" t="s">
        <v>2381</v>
      </c>
      <c r="F123" s="10487" t="s">
        <v>51</v>
      </c>
      <c r="G123" s="10487" t="s">
        <v>24</v>
      </c>
      <c r="H123" s="10487" t="s">
        <v>24</v>
      </c>
      <c r="I123" s="10487" t="s">
        <v>906</v>
      </c>
    </row>
    <row r="124" spans="1:9" ht="11.25" customHeight="1">
      <c r="A124" s="10487" t="s">
        <v>2306</v>
      </c>
      <c r="B124" s="10487" t="s">
        <v>14</v>
      </c>
      <c r="C124" s="10487" t="s">
        <v>2382</v>
      </c>
      <c r="D124" s="10487" t="s">
        <v>2383</v>
      </c>
      <c r="E124" s="10487" t="s">
        <v>2384</v>
      </c>
      <c r="F124" s="10487" t="s">
        <v>2385</v>
      </c>
      <c r="G124" s="10487" t="s">
        <v>24</v>
      </c>
      <c r="H124" s="10487" t="s">
        <v>24</v>
      </c>
      <c r="I124" s="10487" t="s">
        <v>906</v>
      </c>
    </row>
    <row r="125" spans="1:9" ht="11.25" customHeight="1">
      <c r="A125" s="10487" t="s">
        <v>2306</v>
      </c>
      <c r="B125" s="10487" t="s">
        <v>14</v>
      </c>
      <c r="C125" s="10487" t="s">
        <v>2569</v>
      </c>
      <c r="D125" s="10487" t="s">
        <v>2570</v>
      </c>
      <c r="E125" s="10487" t="s">
        <v>2571</v>
      </c>
      <c r="F125" s="10487" t="s">
        <v>2318</v>
      </c>
      <c r="G125" s="10487" t="s">
        <v>24</v>
      </c>
      <c r="H125" s="10487" t="s">
        <v>24</v>
      </c>
      <c r="I125" s="10487" t="s">
        <v>906</v>
      </c>
    </row>
    <row r="126" spans="1:9" ht="11.25" customHeight="1">
      <c r="A126" s="10487" t="s">
        <v>2306</v>
      </c>
      <c r="B126" s="10487" t="s">
        <v>14</v>
      </c>
      <c r="C126" s="10487" t="s">
        <v>2386</v>
      </c>
      <c r="D126" s="10487" t="s">
        <v>2387</v>
      </c>
      <c r="E126" s="10487" t="s">
        <v>2388</v>
      </c>
      <c r="F126" s="10487" t="s">
        <v>2318</v>
      </c>
      <c r="G126" s="10487" t="s">
        <v>24</v>
      </c>
      <c r="H126" s="10487" t="s">
        <v>24</v>
      </c>
      <c r="I126" s="10487" t="s">
        <v>906</v>
      </c>
    </row>
    <row r="127" spans="1:9" ht="11.25" customHeight="1">
      <c r="A127" s="10487" t="s">
        <v>2306</v>
      </c>
      <c r="B127" s="10487" t="s">
        <v>14</v>
      </c>
      <c r="C127" s="10487" t="s">
        <v>2389</v>
      </c>
      <c r="D127" s="10487" t="s">
        <v>2390</v>
      </c>
      <c r="E127" s="10487" t="s">
        <v>2391</v>
      </c>
      <c r="F127" s="10487" t="s">
        <v>2385</v>
      </c>
      <c r="G127" s="10487" t="s">
        <v>2392</v>
      </c>
      <c r="H127" s="10487" t="s">
        <v>24</v>
      </c>
      <c r="I127" s="10487" t="s">
        <v>906</v>
      </c>
    </row>
    <row r="128" spans="1:9" ht="11.25" customHeight="1">
      <c r="A128" s="10487" t="s">
        <v>2306</v>
      </c>
      <c r="B128" s="10487" t="s">
        <v>14</v>
      </c>
      <c r="C128" s="10487" t="s">
        <v>2393</v>
      </c>
      <c r="D128" s="10487" t="s">
        <v>2394</v>
      </c>
      <c r="E128" s="10487" t="s">
        <v>2395</v>
      </c>
      <c r="F128" s="10487" t="s">
        <v>2385</v>
      </c>
      <c r="G128" s="10487" t="s">
        <v>2396</v>
      </c>
      <c r="H128" s="10487" t="s">
        <v>24</v>
      </c>
      <c r="I128" s="10487" t="s">
        <v>906</v>
      </c>
    </row>
    <row r="129" spans="1:9" ht="11.25" customHeight="1">
      <c r="A129" s="10487" t="s">
        <v>2306</v>
      </c>
      <c r="B129" s="10487" t="s">
        <v>14</v>
      </c>
      <c r="C129" s="10487" t="s">
        <v>2397</v>
      </c>
      <c r="D129" s="10487" t="s">
        <v>2398</v>
      </c>
      <c r="E129" s="10487" t="s">
        <v>2399</v>
      </c>
      <c r="F129" s="10487" t="s">
        <v>2400</v>
      </c>
      <c r="G129" s="10487" t="s">
        <v>2401</v>
      </c>
      <c r="H129" s="10487" t="s">
        <v>24</v>
      </c>
      <c r="I129" s="10487" t="s">
        <v>906</v>
      </c>
    </row>
    <row r="130" spans="1:9" ht="11.25" customHeight="1">
      <c r="A130" s="10487" t="s">
        <v>2306</v>
      </c>
      <c r="B130" s="10487" t="s">
        <v>14</v>
      </c>
      <c r="C130" s="10487" t="s">
        <v>2402</v>
      </c>
      <c r="D130" s="10487" t="s">
        <v>2403</v>
      </c>
      <c r="E130" s="10487" t="s">
        <v>2404</v>
      </c>
      <c r="F130" s="10487" t="s">
        <v>2405</v>
      </c>
      <c r="G130" s="10487" t="s">
        <v>24</v>
      </c>
      <c r="H130" s="10487" t="s">
        <v>24</v>
      </c>
      <c r="I130" s="10487" t="s">
        <v>906</v>
      </c>
    </row>
    <row r="131" spans="1:9" ht="11.25" customHeight="1">
      <c r="A131" s="10487" t="s">
        <v>2306</v>
      </c>
      <c r="B131" s="10487" t="s">
        <v>14</v>
      </c>
      <c r="C131" s="10487" t="s">
        <v>2572</v>
      </c>
      <c r="D131" s="10487" t="s">
        <v>2573</v>
      </c>
      <c r="E131" s="10487" t="s">
        <v>2574</v>
      </c>
      <c r="F131" s="10487" t="s">
        <v>2575</v>
      </c>
      <c r="G131" s="10487" t="s">
        <v>24</v>
      </c>
      <c r="H131" s="10487" t="s">
        <v>24</v>
      </c>
      <c r="I131" s="10487" t="s">
        <v>906</v>
      </c>
    </row>
    <row r="132" spans="1:9" ht="11.25" customHeight="1">
      <c r="A132" s="10487" t="s">
        <v>2306</v>
      </c>
      <c r="B132" s="10487" t="s">
        <v>14</v>
      </c>
      <c r="C132" s="10487" t="s">
        <v>2413</v>
      </c>
      <c r="D132" s="10487" t="s">
        <v>2414</v>
      </c>
      <c r="E132" s="10487" t="s">
        <v>2415</v>
      </c>
      <c r="F132" s="10487" t="s">
        <v>2416</v>
      </c>
      <c r="G132" s="10487" t="s">
        <v>24</v>
      </c>
      <c r="H132" s="10487" t="s">
        <v>24</v>
      </c>
      <c r="I132" s="10487" t="s">
        <v>906</v>
      </c>
    </row>
    <row r="133" spans="1:9" ht="11.25" customHeight="1">
      <c r="A133" s="10487" t="s">
        <v>2306</v>
      </c>
      <c r="B133" s="10487" t="s">
        <v>14</v>
      </c>
      <c r="C133" s="10487" t="s">
        <v>2417</v>
      </c>
      <c r="D133" s="10487" t="s">
        <v>2418</v>
      </c>
      <c r="E133" s="10487" t="s">
        <v>2419</v>
      </c>
      <c r="F133" s="10487" t="s">
        <v>2318</v>
      </c>
      <c r="G133" s="10487" t="s">
        <v>24</v>
      </c>
      <c r="H133" s="10487" t="s">
        <v>24</v>
      </c>
      <c r="I133" s="10487" t="s">
        <v>906</v>
      </c>
    </row>
    <row r="134" spans="1:9" ht="11.25" customHeight="1">
      <c r="A134" s="10487" t="s">
        <v>2306</v>
      </c>
      <c r="B134" s="10487" t="s">
        <v>14</v>
      </c>
      <c r="C134" s="10487" t="s">
        <v>2576</v>
      </c>
      <c r="D134" s="10487" t="s">
        <v>2577</v>
      </c>
      <c r="E134" s="10487" t="s">
        <v>2578</v>
      </c>
      <c r="F134" s="10487" t="s">
        <v>2416</v>
      </c>
      <c r="G134" s="10487" t="s">
        <v>2579</v>
      </c>
      <c r="H134" s="10487" t="s">
        <v>24</v>
      </c>
      <c r="I134" s="10487" t="s">
        <v>906</v>
      </c>
    </row>
    <row r="135" spans="1:9" ht="11.25" customHeight="1">
      <c r="A135" s="10487" t="s">
        <v>2306</v>
      </c>
      <c r="B135" s="10487" t="s">
        <v>14</v>
      </c>
      <c r="C135" s="10487" t="s">
        <v>2423</v>
      </c>
      <c r="D135" s="10487" t="s">
        <v>2424</v>
      </c>
      <c r="E135" s="10487" t="s">
        <v>2425</v>
      </c>
      <c r="F135" s="10487" t="s">
        <v>2318</v>
      </c>
      <c r="G135" s="10487" t="s">
        <v>24</v>
      </c>
      <c r="H135" s="10487" t="s">
        <v>24</v>
      </c>
      <c r="I135" s="10487" t="s">
        <v>906</v>
      </c>
    </row>
    <row r="136" spans="1:9" ht="11.25" customHeight="1">
      <c r="A136" s="10487" t="s">
        <v>2306</v>
      </c>
      <c r="B136" s="10487" t="s">
        <v>14</v>
      </c>
      <c r="C136" s="10487" t="s">
        <v>2429</v>
      </c>
      <c r="D136" s="10487" t="s">
        <v>2430</v>
      </c>
      <c r="E136" s="10487" t="s">
        <v>2431</v>
      </c>
      <c r="F136" s="10487" t="s">
        <v>2400</v>
      </c>
      <c r="G136" s="10487" t="s">
        <v>24</v>
      </c>
      <c r="H136" s="10487" t="s">
        <v>24</v>
      </c>
      <c r="I136" s="10487" t="s">
        <v>906</v>
      </c>
    </row>
    <row r="137" spans="1:9" ht="11.25" customHeight="1">
      <c r="A137" s="10487" t="s">
        <v>2306</v>
      </c>
      <c r="B137" s="10487" t="s">
        <v>14</v>
      </c>
      <c r="C137" s="10487" t="s">
        <v>2432</v>
      </c>
      <c r="D137" s="10487" t="s">
        <v>2433</v>
      </c>
      <c r="E137" s="10487" t="s">
        <v>2434</v>
      </c>
      <c r="F137" s="10487" t="s">
        <v>2400</v>
      </c>
      <c r="G137" s="10487" t="s">
        <v>2435</v>
      </c>
      <c r="H137" s="10487" t="s">
        <v>24</v>
      </c>
      <c r="I137" s="10487" t="s">
        <v>906</v>
      </c>
    </row>
    <row r="138" spans="1:9" ht="11.25" customHeight="1">
      <c r="A138" s="10487" t="s">
        <v>2306</v>
      </c>
      <c r="B138" s="10487" t="s">
        <v>14</v>
      </c>
      <c r="C138" s="10487" t="s">
        <v>2580</v>
      </c>
      <c r="D138" s="10487" t="s">
        <v>2581</v>
      </c>
      <c r="E138" s="10487" t="s">
        <v>2582</v>
      </c>
      <c r="F138" s="10487" t="s">
        <v>2467</v>
      </c>
      <c r="G138" s="10487" t="s">
        <v>2583</v>
      </c>
      <c r="H138" s="10487" t="s">
        <v>24</v>
      </c>
      <c r="I138" s="10487" t="s">
        <v>906</v>
      </c>
    </row>
    <row r="139" spans="1:9" ht="11.25" customHeight="1">
      <c r="A139" s="10487" t="s">
        <v>2306</v>
      </c>
      <c r="B139" s="10487" t="s">
        <v>14</v>
      </c>
      <c r="C139" s="10487" t="s">
        <v>2584</v>
      </c>
      <c r="D139" s="10487" t="s">
        <v>2585</v>
      </c>
      <c r="E139" s="10487" t="s">
        <v>2586</v>
      </c>
      <c r="F139" s="10487" t="s">
        <v>2385</v>
      </c>
      <c r="G139" s="10487" t="s">
        <v>24</v>
      </c>
      <c r="H139" s="10487" t="s">
        <v>24</v>
      </c>
      <c r="I139" s="10487" t="s">
        <v>906</v>
      </c>
    </row>
    <row r="140" spans="1:9" ht="11.25" customHeight="1">
      <c r="A140" s="10487" t="s">
        <v>2306</v>
      </c>
      <c r="B140" s="10487" t="s">
        <v>14</v>
      </c>
      <c r="C140" s="10487" t="s">
        <v>2443</v>
      </c>
      <c r="D140" s="10487" t="s">
        <v>2444</v>
      </c>
      <c r="E140" s="10487" t="s">
        <v>2445</v>
      </c>
      <c r="F140" s="10487" t="s">
        <v>2318</v>
      </c>
      <c r="G140" s="10487" t="s">
        <v>24</v>
      </c>
      <c r="H140" s="10487" t="s">
        <v>24</v>
      </c>
      <c r="I140" s="10487" t="s">
        <v>906</v>
      </c>
    </row>
    <row r="141" spans="1:9" ht="11.25" customHeight="1">
      <c r="A141" s="10487" t="s">
        <v>2306</v>
      </c>
      <c r="B141" s="10487" t="s">
        <v>14</v>
      </c>
      <c r="C141" s="10487" t="s">
        <v>2449</v>
      </c>
      <c r="D141" s="10487" t="s">
        <v>2450</v>
      </c>
      <c r="E141" s="10487" t="s">
        <v>2451</v>
      </c>
      <c r="F141" s="10487" t="s">
        <v>2452</v>
      </c>
      <c r="G141" s="10487" t="s">
        <v>24</v>
      </c>
      <c r="H141" s="10487" t="s">
        <v>24</v>
      </c>
      <c r="I141" s="10487" t="s">
        <v>906</v>
      </c>
    </row>
    <row r="142" spans="1:9" ht="11.25" customHeight="1">
      <c r="A142" s="10487" t="s">
        <v>2306</v>
      </c>
      <c r="B142" s="10487" t="s">
        <v>14</v>
      </c>
      <c r="C142" s="10487" t="s">
        <v>2457</v>
      </c>
      <c r="D142" s="10487" t="s">
        <v>2458</v>
      </c>
      <c r="E142" s="10487" t="s">
        <v>2459</v>
      </c>
      <c r="F142" s="10487" t="s">
        <v>2400</v>
      </c>
      <c r="G142" s="10487" t="s">
        <v>2460</v>
      </c>
      <c r="H142" s="10487" t="s">
        <v>24</v>
      </c>
      <c r="I142" s="10487" t="s">
        <v>906</v>
      </c>
    </row>
    <row r="143" spans="1:9" ht="11.25" customHeight="1">
      <c r="A143" s="10487" t="s">
        <v>2306</v>
      </c>
      <c r="B143" s="10487" t="s">
        <v>14</v>
      </c>
      <c r="C143" s="10487" t="s">
        <v>2461</v>
      </c>
      <c r="D143" s="10487" t="s">
        <v>2462</v>
      </c>
      <c r="E143" s="10487" t="s">
        <v>2463</v>
      </c>
      <c r="F143" s="10487" t="s">
        <v>2318</v>
      </c>
      <c r="G143" s="10487" t="s">
        <v>24</v>
      </c>
      <c r="H143" s="10487" t="s">
        <v>24</v>
      </c>
      <c r="I143" s="10487" t="s">
        <v>906</v>
      </c>
    </row>
    <row r="144" spans="1:9" ht="11.25" customHeight="1">
      <c r="A144" s="10487" t="s">
        <v>2306</v>
      </c>
      <c r="B144" s="10487" t="s">
        <v>14</v>
      </c>
      <c r="C144" s="10487" t="s">
        <v>2587</v>
      </c>
      <c r="D144" s="10487" t="s">
        <v>2588</v>
      </c>
      <c r="E144" s="10487" t="s">
        <v>2589</v>
      </c>
      <c r="F144" s="10487" t="s">
        <v>51</v>
      </c>
      <c r="G144" s="10487" t="s">
        <v>2590</v>
      </c>
      <c r="H144" s="10487" t="s">
        <v>24</v>
      </c>
      <c r="I144" s="10487" t="s">
        <v>906</v>
      </c>
    </row>
    <row r="145" spans="1:9" ht="11.25" customHeight="1">
      <c r="A145" s="10487" t="s">
        <v>2306</v>
      </c>
      <c r="B145" s="10487" t="s">
        <v>14</v>
      </c>
      <c r="C145" s="10487" t="s">
        <v>2469</v>
      </c>
      <c r="D145" s="10487" t="s">
        <v>2470</v>
      </c>
      <c r="E145" s="10487" t="s">
        <v>2471</v>
      </c>
      <c r="F145" s="10487" t="s">
        <v>2472</v>
      </c>
      <c r="G145" s="10487" t="s">
        <v>2473</v>
      </c>
      <c r="H145" s="10487" t="s">
        <v>24</v>
      </c>
      <c r="I145" s="10487" t="s">
        <v>906</v>
      </c>
    </row>
    <row r="146" spans="1:9" ht="11.25" customHeight="1">
      <c r="A146" s="10487" t="s">
        <v>2306</v>
      </c>
      <c r="B146" s="10487" t="s">
        <v>14</v>
      </c>
      <c r="C146" s="10487" t="s">
        <v>2591</v>
      </c>
      <c r="D146" s="10487" t="s">
        <v>2592</v>
      </c>
      <c r="E146" s="10487" t="s">
        <v>2593</v>
      </c>
      <c r="F146" s="10487" t="s">
        <v>2594</v>
      </c>
      <c r="G146" s="10487" t="s">
        <v>2595</v>
      </c>
      <c r="H146" s="10487" t="s">
        <v>24</v>
      </c>
      <c r="I146" s="10487" t="s">
        <v>906</v>
      </c>
    </row>
    <row r="147" spans="1:9" ht="11.25" customHeight="1">
      <c r="A147" s="10487" t="s">
        <v>2306</v>
      </c>
      <c r="B147" s="10487" t="s">
        <v>14</v>
      </c>
      <c r="C147" s="10487" t="s">
        <v>2474</v>
      </c>
      <c r="D147" s="10487" t="s">
        <v>2475</v>
      </c>
      <c r="E147" s="10487" t="s">
        <v>2476</v>
      </c>
      <c r="F147" s="10487" t="s">
        <v>2477</v>
      </c>
      <c r="G147" s="10487" t="s">
        <v>24</v>
      </c>
      <c r="H147" s="10487" t="s">
        <v>24</v>
      </c>
      <c r="I147" s="10487" t="s">
        <v>906</v>
      </c>
    </row>
    <row r="148" spans="1:9" ht="11.25" customHeight="1">
      <c r="A148" s="10487" t="s">
        <v>2306</v>
      </c>
      <c r="B148" s="10487" t="s">
        <v>14</v>
      </c>
      <c r="C148" s="10487" t="s">
        <v>2596</v>
      </c>
      <c r="D148" s="10487" t="s">
        <v>2597</v>
      </c>
      <c r="E148" s="10487" t="s">
        <v>2598</v>
      </c>
      <c r="F148" s="10487" t="s">
        <v>2599</v>
      </c>
      <c r="G148" s="10487" t="s">
        <v>24</v>
      </c>
      <c r="H148" s="10487" t="s">
        <v>24</v>
      </c>
      <c r="I148" s="10487" t="s">
        <v>906</v>
      </c>
    </row>
    <row r="149" spans="1:9" ht="11.25" customHeight="1">
      <c r="A149" s="10487" t="s">
        <v>2306</v>
      </c>
      <c r="B149" s="10487" t="s">
        <v>14</v>
      </c>
      <c r="C149" s="10487" t="s">
        <v>2600</v>
      </c>
      <c r="D149" s="10487" t="s">
        <v>2601</v>
      </c>
      <c r="E149" s="10487" t="s">
        <v>2602</v>
      </c>
      <c r="F149" s="10487" t="s">
        <v>2599</v>
      </c>
      <c r="G149" s="10487" t="s">
        <v>24</v>
      </c>
      <c r="H149" s="10487" t="s">
        <v>24</v>
      </c>
      <c r="I149" s="10487" t="s">
        <v>906</v>
      </c>
    </row>
    <row r="150" spans="1:9" ht="11.25" customHeight="1">
      <c r="A150" s="10487" t="s">
        <v>2306</v>
      </c>
      <c r="B150" s="10487" t="s">
        <v>14</v>
      </c>
      <c r="C150" s="10487" t="s">
        <v>2603</v>
      </c>
      <c r="D150" s="10487" t="s">
        <v>2604</v>
      </c>
      <c r="E150" s="10487" t="s">
        <v>2605</v>
      </c>
      <c r="F150" s="10487" t="s">
        <v>2594</v>
      </c>
      <c r="G150" s="10487" t="s">
        <v>2606</v>
      </c>
      <c r="H150" s="10487" t="s">
        <v>24</v>
      </c>
      <c r="I150" s="10487" t="s">
        <v>906</v>
      </c>
    </row>
    <row r="151" spans="1:9" ht="11.25" customHeight="1">
      <c r="A151" s="10487" t="s">
        <v>2306</v>
      </c>
      <c r="B151" s="10487" t="s">
        <v>14</v>
      </c>
      <c r="C151" s="10487" t="s">
        <v>2484</v>
      </c>
      <c r="D151" s="10487" t="s">
        <v>2485</v>
      </c>
      <c r="E151" s="10487" t="s">
        <v>2486</v>
      </c>
      <c r="F151" s="10487" t="s">
        <v>2487</v>
      </c>
      <c r="G151" s="10487" t="s">
        <v>2488</v>
      </c>
      <c r="H151" s="10487" t="s">
        <v>24</v>
      </c>
      <c r="I151" s="10487" t="s">
        <v>906</v>
      </c>
    </row>
    <row r="152" spans="1:9" ht="11.25" customHeight="1">
      <c r="A152" s="10487" t="s">
        <v>2306</v>
      </c>
      <c r="B152" s="10487" t="s">
        <v>14</v>
      </c>
      <c r="C152" s="10487" t="s">
        <v>2607</v>
      </c>
      <c r="D152" s="10487" t="s">
        <v>2608</v>
      </c>
      <c r="E152" s="10487" t="s">
        <v>2609</v>
      </c>
      <c r="F152" s="10487" t="s">
        <v>2467</v>
      </c>
      <c r="G152" s="10487" t="s">
        <v>24</v>
      </c>
      <c r="H152" s="10487" t="s">
        <v>24</v>
      </c>
      <c r="I152" s="10487" t="s">
        <v>906</v>
      </c>
    </row>
    <row r="153" spans="1:9" ht="11.25" customHeight="1">
      <c r="A153" s="10487" t="s">
        <v>2306</v>
      </c>
      <c r="B153" s="10487" t="s">
        <v>14</v>
      </c>
      <c r="C153" s="10487" t="s">
        <v>2610</v>
      </c>
      <c r="D153" s="10487" t="s">
        <v>2611</v>
      </c>
      <c r="E153" s="10487" t="s">
        <v>2612</v>
      </c>
      <c r="F153" s="10487" t="s">
        <v>2510</v>
      </c>
      <c r="G153" s="10487" t="s">
        <v>2613</v>
      </c>
      <c r="H153" s="10487" t="s">
        <v>24</v>
      </c>
      <c r="I153" s="10487" t="s">
        <v>906</v>
      </c>
    </row>
    <row r="154" spans="1:9" ht="11.25" customHeight="1">
      <c r="A154" s="10487" t="s">
        <v>2306</v>
      </c>
      <c r="B154" s="10487" t="s">
        <v>14</v>
      </c>
      <c r="C154" s="10487" t="s">
        <v>2495</v>
      </c>
      <c r="D154" s="10487" t="s">
        <v>2496</v>
      </c>
      <c r="E154" s="10487" t="s">
        <v>2497</v>
      </c>
      <c r="F154" s="10487" t="s">
        <v>2416</v>
      </c>
      <c r="G154" s="10487" t="s">
        <v>2498</v>
      </c>
      <c r="H154" s="10487" t="s">
        <v>24</v>
      </c>
      <c r="I154" s="10487" t="s">
        <v>906</v>
      </c>
    </row>
    <row r="155" spans="1:9" ht="11.25" customHeight="1">
      <c r="A155" s="10487" t="s">
        <v>2306</v>
      </c>
      <c r="B155" s="10487" t="s">
        <v>14</v>
      </c>
      <c r="C155" s="10487" t="s">
        <v>2614</v>
      </c>
      <c r="D155" s="10487" t="s">
        <v>2615</v>
      </c>
      <c r="E155" s="10487" t="s">
        <v>2616</v>
      </c>
      <c r="F155" s="10487" t="s">
        <v>2318</v>
      </c>
      <c r="G155" s="10487" t="s">
        <v>24</v>
      </c>
      <c r="H155" s="10487" t="s">
        <v>24</v>
      </c>
      <c r="I155" s="10487" t="s">
        <v>906</v>
      </c>
    </row>
    <row r="156" spans="1:9" ht="11.25" customHeight="1">
      <c r="A156" s="10487" t="s">
        <v>2306</v>
      </c>
      <c r="B156" s="10487" t="s">
        <v>14</v>
      </c>
      <c r="C156" s="10487" t="s">
        <v>2517</v>
      </c>
      <c r="D156" s="10487" t="s">
        <v>2518</v>
      </c>
      <c r="E156" s="10487" t="s">
        <v>2519</v>
      </c>
      <c r="F156" s="10487" t="s">
        <v>2520</v>
      </c>
      <c r="G156" s="10487" t="s">
        <v>2521</v>
      </c>
      <c r="H156" s="10487" t="s">
        <v>24</v>
      </c>
      <c r="I156" s="10487" t="s">
        <v>906</v>
      </c>
    </row>
    <row r="157" spans="1:9" ht="11.25" customHeight="1">
      <c r="A157" s="10487" t="s">
        <v>2306</v>
      </c>
      <c r="B157" s="10487" t="s">
        <v>14</v>
      </c>
      <c r="C157" s="10487" t="s">
        <v>2522</v>
      </c>
      <c r="D157" s="10487" t="s">
        <v>2523</v>
      </c>
      <c r="E157" s="10487" t="s">
        <v>2471</v>
      </c>
      <c r="F157" s="10487" t="s">
        <v>2524</v>
      </c>
      <c r="G157" s="10487" t="s">
        <v>24</v>
      </c>
      <c r="H157" s="10487" t="s">
        <v>24</v>
      </c>
      <c r="I157" s="10487" t="s">
        <v>906</v>
      </c>
    </row>
    <row r="158" spans="1:9" ht="11.25" customHeight="1">
      <c r="A158" s="10487" t="s">
        <v>2306</v>
      </c>
      <c r="B158" s="10487" t="s">
        <v>14</v>
      </c>
      <c r="C158" s="10487" t="s">
        <v>2528</v>
      </c>
      <c r="D158" s="10487" t="s">
        <v>2529</v>
      </c>
      <c r="E158" s="10487" t="s">
        <v>2519</v>
      </c>
      <c r="F158" s="10487" t="s">
        <v>2530</v>
      </c>
      <c r="G158" s="10487" t="s">
        <v>2531</v>
      </c>
      <c r="H158" s="10487" t="s">
        <v>24</v>
      </c>
      <c r="I158" s="10487" t="s">
        <v>906</v>
      </c>
    </row>
    <row r="159" spans="1:9" ht="11.25" customHeight="1">
      <c r="A159" s="10487" t="s">
        <v>2306</v>
      </c>
      <c r="B159" s="10487" t="s">
        <v>14</v>
      </c>
      <c r="C159" s="10487" t="s">
        <v>2532</v>
      </c>
      <c r="D159" s="10487" t="s">
        <v>2533</v>
      </c>
      <c r="E159" s="10487" t="s">
        <v>2534</v>
      </c>
      <c r="F159" s="10487" t="s">
        <v>2535</v>
      </c>
      <c r="G159" s="10487" t="s">
        <v>24</v>
      </c>
      <c r="H159" s="10487" t="s">
        <v>24</v>
      </c>
      <c r="I159" s="10487" t="s">
        <v>906</v>
      </c>
    </row>
    <row r="160" spans="1:9" ht="11.25" customHeight="1">
      <c r="A160" s="10487" t="s">
        <v>2306</v>
      </c>
      <c r="B160" s="10487" t="s">
        <v>14</v>
      </c>
      <c r="C160" s="10487" t="s">
        <v>2541</v>
      </c>
      <c r="D160" s="10487" t="s">
        <v>2542</v>
      </c>
      <c r="E160" s="10487" t="s">
        <v>2543</v>
      </c>
      <c r="F160" s="10487" t="s">
        <v>2539</v>
      </c>
      <c r="G160" s="10487" t="s">
        <v>24</v>
      </c>
      <c r="H160" s="10487" t="s">
        <v>24</v>
      </c>
      <c r="I160" s="10487" t="s">
        <v>906</v>
      </c>
    </row>
    <row r="161" spans="1:9" ht="11.25" customHeight="1">
      <c r="A161" s="10487" t="s">
        <v>2306</v>
      </c>
      <c r="B161" s="10487" t="s">
        <v>14</v>
      </c>
      <c r="C161" s="10487" t="s">
        <v>2547</v>
      </c>
      <c r="D161" s="10487" t="s">
        <v>2548</v>
      </c>
      <c r="E161" s="10487" t="s">
        <v>2549</v>
      </c>
      <c r="F161" s="10487" t="s">
        <v>2477</v>
      </c>
      <c r="G161" s="10487" t="s">
        <v>24</v>
      </c>
      <c r="H161" s="10487" t="s">
        <v>24</v>
      </c>
      <c r="I161" s="10487" t="s">
        <v>906</v>
      </c>
    </row>
    <row r="162" spans="1:9" ht="11.25" customHeight="1">
      <c r="A162" s="10487" t="s">
        <v>2306</v>
      </c>
      <c r="B162" s="10487" t="s">
        <v>14</v>
      </c>
      <c r="C162" s="10487" t="s">
        <v>2617</v>
      </c>
      <c r="D162" s="10487" t="s">
        <v>2618</v>
      </c>
      <c r="E162" s="10487" t="s">
        <v>2619</v>
      </c>
      <c r="F162" s="10487" t="s">
        <v>2535</v>
      </c>
      <c r="G162" s="10487" t="s">
        <v>2620</v>
      </c>
      <c r="H162" s="10487" t="s">
        <v>24</v>
      </c>
      <c r="I162" s="10487" t="s">
        <v>961</v>
      </c>
    </row>
    <row r="163" spans="1:9" ht="11.25" customHeight="1">
      <c r="A163" s="10487" t="s">
        <v>2306</v>
      </c>
      <c r="B163" s="10487" t="s">
        <v>14</v>
      </c>
      <c r="C163" s="10487" t="s">
        <v>2312</v>
      </c>
      <c r="D163" s="10487" t="s">
        <v>2308</v>
      </c>
      <c r="E163" s="10487" t="s">
        <v>2309</v>
      </c>
      <c r="F163" s="10487" t="s">
        <v>2313</v>
      </c>
      <c r="G163" s="10487" t="s">
        <v>2314</v>
      </c>
      <c r="H163" s="10487" t="s">
        <v>24</v>
      </c>
      <c r="I163" s="10487" t="s">
        <v>961</v>
      </c>
    </row>
    <row r="164" spans="1:9" ht="11.25" customHeight="1">
      <c r="A164" s="10487" t="s">
        <v>2306</v>
      </c>
      <c r="B164" s="10487" t="s">
        <v>14</v>
      </c>
      <c r="C164" s="10487" t="s">
        <v>2550</v>
      </c>
      <c r="D164" s="10487" t="s">
        <v>2551</v>
      </c>
      <c r="E164" s="10487" t="s">
        <v>2552</v>
      </c>
      <c r="F164" s="10487" t="s">
        <v>2372</v>
      </c>
      <c r="G164" s="10487" t="s">
        <v>2553</v>
      </c>
      <c r="H164" s="10487" t="s">
        <v>24</v>
      </c>
      <c r="I164" s="10487" t="s">
        <v>961</v>
      </c>
    </row>
    <row r="165" spans="1:9" ht="11.25" customHeight="1">
      <c r="A165" s="10487" t="s">
        <v>2306</v>
      </c>
      <c r="B165" s="10487" t="s">
        <v>14</v>
      </c>
      <c r="C165" s="10487" t="s">
        <v>2315</v>
      </c>
      <c r="D165" s="10487" t="s">
        <v>2316</v>
      </c>
      <c r="E165" s="10487" t="s">
        <v>2317</v>
      </c>
      <c r="F165" s="10487" t="s">
        <v>2318</v>
      </c>
      <c r="G165" s="10487" t="s">
        <v>24</v>
      </c>
      <c r="H165" s="10487" t="s">
        <v>24</v>
      </c>
      <c r="I165" s="10487" t="s">
        <v>961</v>
      </c>
    </row>
    <row r="166" spans="1:9" ht="11.25" customHeight="1">
      <c r="A166" s="10487" t="s">
        <v>2306</v>
      </c>
      <c r="B166" s="10487" t="s">
        <v>14</v>
      </c>
      <c r="C166" s="10487" t="s">
        <v>2554</v>
      </c>
      <c r="D166" s="10487" t="s">
        <v>2555</v>
      </c>
      <c r="E166" s="10487" t="s">
        <v>2556</v>
      </c>
      <c r="F166" s="10487" t="s">
        <v>2318</v>
      </c>
      <c r="G166" s="10487" t="s">
        <v>2557</v>
      </c>
      <c r="H166" s="10487" t="s">
        <v>24</v>
      </c>
      <c r="I166" s="10487" t="s">
        <v>961</v>
      </c>
    </row>
    <row r="167" spans="1:9" ht="11.25" customHeight="1">
      <c r="A167" s="10487" t="s">
        <v>2306</v>
      </c>
      <c r="B167" s="10487" t="s">
        <v>14</v>
      </c>
      <c r="C167" s="10487" t="s">
        <v>2327</v>
      </c>
      <c r="D167" s="10487" t="s">
        <v>2328</v>
      </c>
      <c r="E167" s="10487" t="s">
        <v>2329</v>
      </c>
      <c r="F167" s="10487" t="s">
        <v>2326</v>
      </c>
      <c r="G167" s="10487" t="s">
        <v>2330</v>
      </c>
      <c r="H167" s="10487" t="s">
        <v>24</v>
      </c>
      <c r="I167" s="10487" t="s">
        <v>961</v>
      </c>
    </row>
    <row r="168" spans="1:9" ht="11.25" customHeight="1">
      <c r="A168" s="10487" t="s">
        <v>2306</v>
      </c>
      <c r="B168" s="10487" t="s">
        <v>14</v>
      </c>
      <c r="C168" s="10487" t="s">
        <v>2558</v>
      </c>
      <c r="D168" s="10487" t="s">
        <v>2559</v>
      </c>
      <c r="E168" s="10487" t="s">
        <v>2560</v>
      </c>
      <c r="F168" s="10487" t="s">
        <v>2334</v>
      </c>
      <c r="G168" s="10487" t="s">
        <v>2561</v>
      </c>
      <c r="H168" s="10487" t="s">
        <v>24</v>
      </c>
      <c r="I168" s="10487" t="s">
        <v>961</v>
      </c>
    </row>
    <row r="169" spans="1:9" ht="11.25" customHeight="1">
      <c r="A169" s="10487" t="s">
        <v>2306</v>
      </c>
      <c r="B169" s="10487" t="s">
        <v>14</v>
      </c>
      <c r="C169" s="10487" t="s">
        <v>2338</v>
      </c>
      <c r="D169" s="10487" t="s">
        <v>2339</v>
      </c>
      <c r="E169" s="10487" t="s">
        <v>2340</v>
      </c>
      <c r="F169" s="10487" t="s">
        <v>51</v>
      </c>
      <c r="G169" s="10487" t="s">
        <v>2341</v>
      </c>
      <c r="H169" s="10487" t="s">
        <v>24</v>
      </c>
      <c r="I169" s="10487" t="s">
        <v>961</v>
      </c>
    </row>
    <row r="170" spans="1:9" ht="11.25" customHeight="1">
      <c r="A170" s="10487" t="s">
        <v>2306</v>
      </c>
      <c r="B170" s="10487" t="s">
        <v>14</v>
      </c>
      <c r="C170" s="10487" t="s">
        <v>2347</v>
      </c>
      <c r="D170" s="10487" t="s">
        <v>2348</v>
      </c>
      <c r="E170" s="10487" t="s">
        <v>2349</v>
      </c>
      <c r="F170" s="10487" t="s">
        <v>2350</v>
      </c>
      <c r="G170" s="10487" t="s">
        <v>2351</v>
      </c>
      <c r="H170" s="10487" t="s">
        <v>24</v>
      </c>
      <c r="I170" s="10487" t="s">
        <v>961</v>
      </c>
    </row>
    <row r="171" spans="1:9" ht="11.25" customHeight="1">
      <c r="A171" s="10487" t="s">
        <v>2306</v>
      </c>
      <c r="B171" s="10487" t="s">
        <v>14</v>
      </c>
      <c r="C171" s="10487" t="s">
        <v>2562</v>
      </c>
      <c r="D171" s="10487" t="s">
        <v>2563</v>
      </c>
      <c r="E171" s="10487" t="s">
        <v>2363</v>
      </c>
      <c r="F171" s="10487" t="s">
        <v>2539</v>
      </c>
      <c r="G171" s="10487" t="s">
        <v>2564</v>
      </c>
      <c r="H171" s="10487" t="s">
        <v>24</v>
      </c>
      <c r="I171" s="10487" t="s">
        <v>961</v>
      </c>
    </row>
    <row r="172" spans="1:9" ht="11.25" customHeight="1">
      <c r="A172" s="10487" t="s">
        <v>2306</v>
      </c>
      <c r="B172" s="10487" t="s">
        <v>14</v>
      </c>
      <c r="C172" s="10487" t="s">
        <v>2365</v>
      </c>
      <c r="D172" s="10487" t="s">
        <v>2366</v>
      </c>
      <c r="E172" s="10487" t="s">
        <v>2367</v>
      </c>
      <c r="F172" s="10487" t="s">
        <v>51</v>
      </c>
      <c r="G172" s="10487" t="s">
        <v>2368</v>
      </c>
      <c r="H172" s="10487" t="s">
        <v>24</v>
      </c>
      <c r="I172" s="10487" t="s">
        <v>961</v>
      </c>
    </row>
    <row r="173" spans="1:9" ht="11.25" customHeight="1">
      <c r="A173" s="10487" t="s">
        <v>2306</v>
      </c>
      <c r="B173" s="10487" t="s">
        <v>14</v>
      </c>
      <c r="C173" s="10487" t="s">
        <v>2565</v>
      </c>
      <c r="D173" s="10487" t="s">
        <v>2566</v>
      </c>
      <c r="E173" s="10487" t="s">
        <v>2567</v>
      </c>
      <c r="F173" s="10487" t="s">
        <v>2400</v>
      </c>
      <c r="G173" s="10487" t="s">
        <v>2568</v>
      </c>
      <c r="H173" s="10487" t="s">
        <v>24</v>
      </c>
      <c r="I173" s="10487" t="s">
        <v>961</v>
      </c>
    </row>
    <row r="174" spans="1:9" ht="11.25" customHeight="1">
      <c r="A174" s="10487" t="s">
        <v>2306</v>
      </c>
      <c r="B174" s="10487" t="s">
        <v>14</v>
      </c>
      <c r="C174" s="10487" t="s">
        <v>2376</v>
      </c>
      <c r="D174" s="10487" t="s">
        <v>2377</v>
      </c>
      <c r="E174" s="10487" t="s">
        <v>2378</v>
      </c>
      <c r="F174" s="10487" t="s">
        <v>51</v>
      </c>
      <c r="G174" s="10487" t="s">
        <v>2379</v>
      </c>
      <c r="H174" s="10487" t="s">
        <v>24</v>
      </c>
      <c r="I174" s="10487" t="s">
        <v>961</v>
      </c>
    </row>
    <row r="175" spans="1:9" ht="11.25" customHeight="1">
      <c r="A175" s="10487" t="s">
        <v>2306</v>
      </c>
      <c r="B175" s="10487" t="s">
        <v>14</v>
      </c>
      <c r="C175" s="10487" t="s">
        <v>24</v>
      </c>
      <c r="D175" s="10487" t="s">
        <v>2380</v>
      </c>
      <c r="E175" s="10487" t="s">
        <v>2381</v>
      </c>
      <c r="F175" s="10487" t="s">
        <v>51</v>
      </c>
      <c r="G175" s="10487" t="s">
        <v>24</v>
      </c>
      <c r="H175" s="10487" t="s">
        <v>24</v>
      </c>
      <c r="I175" s="10487" t="s">
        <v>961</v>
      </c>
    </row>
    <row r="176" spans="1:9" ht="11.25" customHeight="1">
      <c r="A176" s="10487" t="s">
        <v>2306</v>
      </c>
      <c r="B176" s="10487" t="s">
        <v>14</v>
      </c>
      <c r="C176" s="10487" t="s">
        <v>2382</v>
      </c>
      <c r="D176" s="10487" t="s">
        <v>2383</v>
      </c>
      <c r="E176" s="10487" t="s">
        <v>2384</v>
      </c>
      <c r="F176" s="10487" t="s">
        <v>2385</v>
      </c>
      <c r="G176" s="10487" t="s">
        <v>24</v>
      </c>
      <c r="H176" s="10487" t="s">
        <v>24</v>
      </c>
      <c r="I176" s="10487" t="s">
        <v>961</v>
      </c>
    </row>
    <row r="177" spans="1:9" ht="11.25" customHeight="1">
      <c r="A177" s="10487" t="s">
        <v>2306</v>
      </c>
      <c r="B177" s="10487" t="s">
        <v>14</v>
      </c>
      <c r="C177" s="10487" t="s">
        <v>2386</v>
      </c>
      <c r="D177" s="10487" t="s">
        <v>2387</v>
      </c>
      <c r="E177" s="10487" t="s">
        <v>2388</v>
      </c>
      <c r="F177" s="10487" t="s">
        <v>2318</v>
      </c>
      <c r="G177" s="10487" t="s">
        <v>24</v>
      </c>
      <c r="H177" s="10487" t="s">
        <v>24</v>
      </c>
      <c r="I177" s="10487" t="s">
        <v>961</v>
      </c>
    </row>
    <row r="178" spans="1:9" ht="11.25" customHeight="1">
      <c r="A178" s="10487" t="s">
        <v>2306</v>
      </c>
      <c r="B178" s="10487" t="s">
        <v>14</v>
      </c>
      <c r="C178" s="10487" t="s">
        <v>2389</v>
      </c>
      <c r="D178" s="10487" t="s">
        <v>2390</v>
      </c>
      <c r="E178" s="10487" t="s">
        <v>2391</v>
      </c>
      <c r="F178" s="10487" t="s">
        <v>2385</v>
      </c>
      <c r="G178" s="10487" t="s">
        <v>2392</v>
      </c>
      <c r="H178" s="10487" t="s">
        <v>24</v>
      </c>
      <c r="I178" s="10487" t="s">
        <v>961</v>
      </c>
    </row>
    <row r="179" spans="1:9" ht="11.25" customHeight="1">
      <c r="A179" s="10487" t="s">
        <v>2306</v>
      </c>
      <c r="B179" s="10487" t="s">
        <v>14</v>
      </c>
      <c r="C179" s="10487" t="s">
        <v>2393</v>
      </c>
      <c r="D179" s="10487" t="s">
        <v>2394</v>
      </c>
      <c r="E179" s="10487" t="s">
        <v>2395</v>
      </c>
      <c r="F179" s="10487" t="s">
        <v>2385</v>
      </c>
      <c r="G179" s="10487" t="s">
        <v>2396</v>
      </c>
      <c r="H179" s="10487" t="s">
        <v>24</v>
      </c>
      <c r="I179" s="10487" t="s">
        <v>961</v>
      </c>
    </row>
    <row r="180" spans="1:9" ht="11.25" customHeight="1">
      <c r="A180" s="10487" t="s">
        <v>2306</v>
      </c>
      <c r="B180" s="10487" t="s">
        <v>14</v>
      </c>
      <c r="C180" s="10487" t="s">
        <v>2397</v>
      </c>
      <c r="D180" s="10487" t="s">
        <v>2398</v>
      </c>
      <c r="E180" s="10487" t="s">
        <v>2399</v>
      </c>
      <c r="F180" s="10487" t="s">
        <v>2400</v>
      </c>
      <c r="G180" s="10487" t="s">
        <v>2401</v>
      </c>
      <c r="H180" s="10487" t="s">
        <v>24</v>
      </c>
      <c r="I180" s="10487" t="s">
        <v>961</v>
      </c>
    </row>
    <row r="181" spans="1:9" ht="11.25" customHeight="1">
      <c r="A181" s="10487" t="s">
        <v>2306</v>
      </c>
      <c r="B181" s="10487" t="s">
        <v>14</v>
      </c>
      <c r="C181" s="10487" t="s">
        <v>2402</v>
      </c>
      <c r="D181" s="10487" t="s">
        <v>2403</v>
      </c>
      <c r="E181" s="10487" t="s">
        <v>2404</v>
      </c>
      <c r="F181" s="10487" t="s">
        <v>2405</v>
      </c>
      <c r="G181" s="10487" t="s">
        <v>24</v>
      </c>
      <c r="H181" s="10487" t="s">
        <v>24</v>
      </c>
      <c r="I181" s="10487" t="s">
        <v>961</v>
      </c>
    </row>
    <row r="182" spans="1:9" ht="11.25" customHeight="1">
      <c r="A182" s="10487" t="s">
        <v>2306</v>
      </c>
      <c r="B182" s="10487" t="s">
        <v>14</v>
      </c>
      <c r="C182" s="10487" t="s">
        <v>2572</v>
      </c>
      <c r="D182" s="10487" t="s">
        <v>2573</v>
      </c>
      <c r="E182" s="10487" t="s">
        <v>2574</v>
      </c>
      <c r="F182" s="10487" t="s">
        <v>2575</v>
      </c>
      <c r="G182" s="10487" t="s">
        <v>24</v>
      </c>
      <c r="H182" s="10487" t="s">
        <v>24</v>
      </c>
      <c r="I182" s="10487" t="s">
        <v>961</v>
      </c>
    </row>
    <row r="183" spans="1:9" ht="11.25" customHeight="1">
      <c r="A183" s="10487" t="s">
        <v>2306</v>
      </c>
      <c r="B183" s="10487" t="s">
        <v>14</v>
      </c>
      <c r="C183" s="10487" t="s">
        <v>2413</v>
      </c>
      <c r="D183" s="10487" t="s">
        <v>2414</v>
      </c>
      <c r="E183" s="10487" t="s">
        <v>2415</v>
      </c>
      <c r="F183" s="10487" t="s">
        <v>2416</v>
      </c>
      <c r="G183" s="10487" t="s">
        <v>24</v>
      </c>
      <c r="H183" s="10487" t="s">
        <v>24</v>
      </c>
      <c r="I183" s="10487" t="s">
        <v>961</v>
      </c>
    </row>
    <row r="184" spans="1:9" ht="11.25" customHeight="1">
      <c r="A184" s="10487" t="s">
        <v>2306</v>
      </c>
      <c r="B184" s="10487" t="s">
        <v>14</v>
      </c>
      <c r="C184" s="10487" t="s">
        <v>2417</v>
      </c>
      <c r="D184" s="10487" t="s">
        <v>2418</v>
      </c>
      <c r="E184" s="10487" t="s">
        <v>2419</v>
      </c>
      <c r="F184" s="10487" t="s">
        <v>2318</v>
      </c>
      <c r="G184" s="10487" t="s">
        <v>24</v>
      </c>
      <c r="H184" s="10487" t="s">
        <v>24</v>
      </c>
      <c r="I184" s="10487" t="s">
        <v>961</v>
      </c>
    </row>
    <row r="185" spans="1:9" ht="11.25" customHeight="1">
      <c r="A185" s="10487" t="s">
        <v>2306</v>
      </c>
      <c r="B185" s="10487" t="s">
        <v>14</v>
      </c>
      <c r="C185" s="10487" t="s">
        <v>2576</v>
      </c>
      <c r="D185" s="10487" t="s">
        <v>2577</v>
      </c>
      <c r="E185" s="10487" t="s">
        <v>2578</v>
      </c>
      <c r="F185" s="10487" t="s">
        <v>2416</v>
      </c>
      <c r="G185" s="10487" t="s">
        <v>2579</v>
      </c>
      <c r="H185" s="10487" t="s">
        <v>24</v>
      </c>
      <c r="I185" s="10487" t="s">
        <v>961</v>
      </c>
    </row>
    <row r="186" spans="1:9" ht="11.25" customHeight="1">
      <c r="A186" s="10487" t="s">
        <v>2306</v>
      </c>
      <c r="B186" s="10487" t="s">
        <v>14</v>
      </c>
      <c r="C186" s="10487" t="s">
        <v>2423</v>
      </c>
      <c r="D186" s="10487" t="s">
        <v>2424</v>
      </c>
      <c r="E186" s="10487" t="s">
        <v>2425</v>
      </c>
      <c r="F186" s="10487" t="s">
        <v>2318</v>
      </c>
      <c r="G186" s="10487" t="s">
        <v>24</v>
      </c>
      <c r="H186" s="10487" t="s">
        <v>24</v>
      </c>
      <c r="I186" s="10487" t="s">
        <v>961</v>
      </c>
    </row>
    <row r="187" spans="1:9" ht="11.25" customHeight="1">
      <c r="A187" s="10487" t="s">
        <v>2306</v>
      </c>
      <c r="B187" s="10487" t="s">
        <v>14</v>
      </c>
      <c r="C187" s="10487" t="s">
        <v>2429</v>
      </c>
      <c r="D187" s="10487" t="s">
        <v>2430</v>
      </c>
      <c r="E187" s="10487" t="s">
        <v>2431</v>
      </c>
      <c r="F187" s="10487" t="s">
        <v>2400</v>
      </c>
      <c r="G187" s="10487" t="s">
        <v>24</v>
      </c>
      <c r="H187" s="10487" t="s">
        <v>24</v>
      </c>
      <c r="I187" s="10487" t="s">
        <v>961</v>
      </c>
    </row>
    <row r="188" spans="1:9" ht="11.25" customHeight="1">
      <c r="A188" s="10487" t="s">
        <v>2306</v>
      </c>
      <c r="B188" s="10487" t="s">
        <v>14</v>
      </c>
      <c r="C188" s="10487" t="s">
        <v>2432</v>
      </c>
      <c r="D188" s="10487" t="s">
        <v>2433</v>
      </c>
      <c r="E188" s="10487" t="s">
        <v>2434</v>
      </c>
      <c r="F188" s="10487" t="s">
        <v>2400</v>
      </c>
      <c r="G188" s="10487" t="s">
        <v>2435</v>
      </c>
      <c r="H188" s="10487" t="s">
        <v>24</v>
      </c>
      <c r="I188" s="10487" t="s">
        <v>961</v>
      </c>
    </row>
    <row r="189" spans="1:9" ht="11.25" customHeight="1">
      <c r="A189" s="10487" t="s">
        <v>2306</v>
      </c>
      <c r="B189" s="10487" t="s">
        <v>14</v>
      </c>
      <c r="C189" s="10487" t="s">
        <v>2580</v>
      </c>
      <c r="D189" s="10487" t="s">
        <v>2581</v>
      </c>
      <c r="E189" s="10487" t="s">
        <v>2582</v>
      </c>
      <c r="F189" s="10487" t="s">
        <v>2467</v>
      </c>
      <c r="G189" s="10487" t="s">
        <v>2583</v>
      </c>
      <c r="H189" s="10487" t="s">
        <v>24</v>
      </c>
      <c r="I189" s="10487" t="s">
        <v>961</v>
      </c>
    </row>
    <row r="190" spans="1:9" ht="11.25" customHeight="1">
      <c r="A190" s="10487" t="s">
        <v>2306</v>
      </c>
      <c r="B190" s="10487" t="s">
        <v>14</v>
      </c>
      <c r="C190" s="10487" t="s">
        <v>2584</v>
      </c>
      <c r="D190" s="10487" t="s">
        <v>2585</v>
      </c>
      <c r="E190" s="10487" t="s">
        <v>2586</v>
      </c>
      <c r="F190" s="10487" t="s">
        <v>2385</v>
      </c>
      <c r="G190" s="10487" t="s">
        <v>24</v>
      </c>
      <c r="H190" s="10487" t="s">
        <v>24</v>
      </c>
      <c r="I190" s="10487" t="s">
        <v>961</v>
      </c>
    </row>
    <row r="191" spans="1:9" ht="11.25" customHeight="1">
      <c r="A191" s="10487" t="s">
        <v>2306</v>
      </c>
      <c r="B191" s="10487" t="s">
        <v>14</v>
      </c>
      <c r="C191" s="10487" t="s">
        <v>2449</v>
      </c>
      <c r="D191" s="10487" t="s">
        <v>2450</v>
      </c>
      <c r="E191" s="10487" t="s">
        <v>2451</v>
      </c>
      <c r="F191" s="10487" t="s">
        <v>2452</v>
      </c>
      <c r="G191" s="10487" t="s">
        <v>24</v>
      </c>
      <c r="H191" s="10487" t="s">
        <v>24</v>
      </c>
      <c r="I191" s="10487" t="s">
        <v>961</v>
      </c>
    </row>
    <row r="192" spans="1:9" ht="11.25" customHeight="1">
      <c r="A192" s="10487" t="s">
        <v>2306</v>
      </c>
      <c r="B192" s="10487" t="s">
        <v>14</v>
      </c>
      <c r="C192" s="10487" t="s">
        <v>2457</v>
      </c>
      <c r="D192" s="10487" t="s">
        <v>2458</v>
      </c>
      <c r="E192" s="10487" t="s">
        <v>2459</v>
      </c>
      <c r="F192" s="10487" t="s">
        <v>2400</v>
      </c>
      <c r="G192" s="10487" t="s">
        <v>2460</v>
      </c>
      <c r="H192" s="10487" t="s">
        <v>24</v>
      </c>
      <c r="I192" s="10487" t="s">
        <v>961</v>
      </c>
    </row>
    <row r="193" spans="1:9" ht="11.25" customHeight="1">
      <c r="A193" s="10487" t="s">
        <v>2306</v>
      </c>
      <c r="B193" s="10487" t="s">
        <v>14</v>
      </c>
      <c r="C193" s="10487" t="s">
        <v>2461</v>
      </c>
      <c r="D193" s="10487" t="s">
        <v>2462</v>
      </c>
      <c r="E193" s="10487" t="s">
        <v>2463</v>
      </c>
      <c r="F193" s="10487" t="s">
        <v>2318</v>
      </c>
      <c r="G193" s="10487" t="s">
        <v>24</v>
      </c>
      <c r="H193" s="10487" t="s">
        <v>24</v>
      </c>
      <c r="I193" s="10487" t="s">
        <v>961</v>
      </c>
    </row>
    <row r="194" spans="1:9" ht="11.25" customHeight="1">
      <c r="A194" s="10487" t="s">
        <v>2306</v>
      </c>
      <c r="B194" s="10487" t="s">
        <v>14</v>
      </c>
      <c r="C194" s="10487" t="s">
        <v>2587</v>
      </c>
      <c r="D194" s="10487" t="s">
        <v>2588</v>
      </c>
      <c r="E194" s="10487" t="s">
        <v>2589</v>
      </c>
      <c r="F194" s="10487" t="s">
        <v>51</v>
      </c>
      <c r="G194" s="10487" t="s">
        <v>2590</v>
      </c>
      <c r="H194" s="10487" t="s">
        <v>24</v>
      </c>
      <c r="I194" s="10487" t="s">
        <v>961</v>
      </c>
    </row>
    <row r="195" spans="1:9" ht="11.25" customHeight="1">
      <c r="A195" s="10487" t="s">
        <v>2306</v>
      </c>
      <c r="B195" s="10487" t="s">
        <v>14</v>
      </c>
      <c r="C195" s="10487" t="s">
        <v>2469</v>
      </c>
      <c r="D195" s="10487" t="s">
        <v>2470</v>
      </c>
      <c r="E195" s="10487" t="s">
        <v>2471</v>
      </c>
      <c r="F195" s="10487" t="s">
        <v>2472</v>
      </c>
      <c r="G195" s="10487" t="s">
        <v>2473</v>
      </c>
      <c r="H195" s="10487" t="s">
        <v>24</v>
      </c>
      <c r="I195" s="10487" t="s">
        <v>961</v>
      </c>
    </row>
    <row r="196" spans="1:9" ht="11.25" customHeight="1">
      <c r="A196" s="10487" t="s">
        <v>2306</v>
      </c>
      <c r="B196" s="10487" t="s">
        <v>14</v>
      </c>
      <c r="C196" s="10487" t="s">
        <v>2474</v>
      </c>
      <c r="D196" s="10487" t="s">
        <v>2475</v>
      </c>
      <c r="E196" s="10487" t="s">
        <v>2476</v>
      </c>
      <c r="F196" s="10487" t="s">
        <v>2477</v>
      </c>
      <c r="G196" s="10487" t="s">
        <v>24</v>
      </c>
      <c r="H196" s="10487" t="s">
        <v>24</v>
      </c>
      <c r="I196" s="10487" t="s">
        <v>961</v>
      </c>
    </row>
    <row r="197" spans="1:9" ht="11.25" customHeight="1">
      <c r="A197" s="10487" t="s">
        <v>2306</v>
      </c>
      <c r="B197" s="10487" t="s">
        <v>14</v>
      </c>
      <c r="C197" s="10487" t="s">
        <v>2596</v>
      </c>
      <c r="D197" s="10487" t="s">
        <v>2597</v>
      </c>
      <c r="E197" s="10487" t="s">
        <v>2598</v>
      </c>
      <c r="F197" s="10487" t="s">
        <v>2599</v>
      </c>
      <c r="G197" s="10487" t="s">
        <v>24</v>
      </c>
      <c r="H197" s="10487" t="s">
        <v>24</v>
      </c>
      <c r="I197" s="10487" t="s">
        <v>961</v>
      </c>
    </row>
    <row r="198" spans="1:9" ht="11.25" customHeight="1">
      <c r="A198" s="10487" t="s">
        <v>2306</v>
      </c>
      <c r="B198" s="10487" t="s">
        <v>14</v>
      </c>
      <c r="C198" s="10487" t="s">
        <v>2600</v>
      </c>
      <c r="D198" s="10487" t="s">
        <v>2601</v>
      </c>
      <c r="E198" s="10487" t="s">
        <v>2602</v>
      </c>
      <c r="F198" s="10487" t="s">
        <v>2599</v>
      </c>
      <c r="G198" s="10487" t="s">
        <v>24</v>
      </c>
      <c r="H198" s="10487" t="s">
        <v>24</v>
      </c>
      <c r="I198" s="10487" t="s">
        <v>961</v>
      </c>
    </row>
    <row r="199" spans="1:9" ht="11.25" customHeight="1">
      <c r="A199" s="10487" t="s">
        <v>2306</v>
      </c>
      <c r="B199" s="10487" t="s">
        <v>14</v>
      </c>
      <c r="C199" s="10487" t="s">
        <v>2603</v>
      </c>
      <c r="D199" s="10487" t="s">
        <v>2604</v>
      </c>
      <c r="E199" s="10487" t="s">
        <v>2605</v>
      </c>
      <c r="F199" s="10487" t="s">
        <v>2594</v>
      </c>
      <c r="G199" s="10487" t="s">
        <v>2606</v>
      </c>
      <c r="H199" s="10487" t="s">
        <v>24</v>
      </c>
      <c r="I199" s="10487" t="s">
        <v>961</v>
      </c>
    </row>
    <row r="200" spans="1:9" ht="11.25" customHeight="1">
      <c r="A200" s="10487" t="s">
        <v>2306</v>
      </c>
      <c r="B200" s="10487" t="s">
        <v>14</v>
      </c>
      <c r="C200" s="10487" t="s">
        <v>2484</v>
      </c>
      <c r="D200" s="10487" t="s">
        <v>2485</v>
      </c>
      <c r="E200" s="10487" t="s">
        <v>2486</v>
      </c>
      <c r="F200" s="10487" t="s">
        <v>2487</v>
      </c>
      <c r="G200" s="10487" t="s">
        <v>2488</v>
      </c>
      <c r="H200" s="10487" t="s">
        <v>24</v>
      </c>
      <c r="I200" s="10487" t="s">
        <v>961</v>
      </c>
    </row>
    <row r="201" spans="1:9" ht="11.25" customHeight="1">
      <c r="A201" s="10487" t="s">
        <v>2306</v>
      </c>
      <c r="B201" s="10487" t="s">
        <v>14</v>
      </c>
      <c r="C201" s="10487" t="s">
        <v>2607</v>
      </c>
      <c r="D201" s="10487" t="s">
        <v>2608</v>
      </c>
      <c r="E201" s="10487" t="s">
        <v>2609</v>
      </c>
      <c r="F201" s="10487" t="s">
        <v>2467</v>
      </c>
      <c r="G201" s="10487" t="s">
        <v>24</v>
      </c>
      <c r="H201" s="10487" t="s">
        <v>24</v>
      </c>
      <c r="I201" s="10487" t="s">
        <v>961</v>
      </c>
    </row>
    <row r="202" spans="1:9" ht="11.25" customHeight="1">
      <c r="A202" s="10487" t="s">
        <v>2306</v>
      </c>
      <c r="B202" s="10487" t="s">
        <v>14</v>
      </c>
      <c r="C202" s="10487" t="s">
        <v>2610</v>
      </c>
      <c r="D202" s="10487" t="s">
        <v>2611</v>
      </c>
      <c r="E202" s="10487" t="s">
        <v>2612</v>
      </c>
      <c r="F202" s="10487" t="s">
        <v>2510</v>
      </c>
      <c r="G202" s="10487" t="s">
        <v>2613</v>
      </c>
      <c r="H202" s="10487" t="s">
        <v>24</v>
      </c>
      <c r="I202" s="10487" t="s">
        <v>961</v>
      </c>
    </row>
    <row r="203" spans="1:9" ht="11.25" customHeight="1">
      <c r="A203" s="10487" t="s">
        <v>2306</v>
      </c>
      <c r="B203" s="10487" t="s">
        <v>14</v>
      </c>
      <c r="C203" s="10487" t="s">
        <v>2495</v>
      </c>
      <c r="D203" s="10487" t="s">
        <v>2496</v>
      </c>
      <c r="E203" s="10487" t="s">
        <v>2497</v>
      </c>
      <c r="F203" s="10487" t="s">
        <v>2416</v>
      </c>
      <c r="G203" s="10487" t="s">
        <v>2498</v>
      </c>
      <c r="H203" s="10487" t="s">
        <v>24</v>
      </c>
      <c r="I203" s="10487" t="s">
        <v>961</v>
      </c>
    </row>
    <row r="204" spans="1:9" ht="11.25" customHeight="1">
      <c r="A204" s="10487" t="s">
        <v>2306</v>
      </c>
      <c r="B204" s="10487" t="s">
        <v>14</v>
      </c>
      <c r="C204" s="10487" t="s">
        <v>2614</v>
      </c>
      <c r="D204" s="10487" t="s">
        <v>2615</v>
      </c>
      <c r="E204" s="10487" t="s">
        <v>2616</v>
      </c>
      <c r="F204" s="10487" t="s">
        <v>2318</v>
      </c>
      <c r="G204" s="10487" t="s">
        <v>24</v>
      </c>
      <c r="H204" s="10487" t="s">
        <v>24</v>
      </c>
      <c r="I204" s="10487" t="s">
        <v>961</v>
      </c>
    </row>
    <row r="205" spans="1:9" ht="11.25" customHeight="1">
      <c r="A205" s="10487" t="s">
        <v>2306</v>
      </c>
      <c r="B205" s="10487" t="s">
        <v>14</v>
      </c>
      <c r="C205" s="10487" t="s">
        <v>2621</v>
      </c>
      <c r="D205" s="10487" t="s">
        <v>2622</v>
      </c>
      <c r="E205" s="10487" t="s">
        <v>2623</v>
      </c>
      <c r="F205" s="10487" t="s">
        <v>2624</v>
      </c>
      <c r="G205" s="10487" t="s">
        <v>2625</v>
      </c>
      <c r="H205" s="10487" t="s">
        <v>24</v>
      </c>
      <c r="I205" s="10487" t="s">
        <v>961</v>
      </c>
    </row>
    <row r="206" spans="1:9" ht="11.25" customHeight="1">
      <c r="A206" s="10487" t="s">
        <v>2306</v>
      </c>
      <c r="B206" s="10487" t="s">
        <v>14</v>
      </c>
      <c r="C206" s="10487" t="s">
        <v>2517</v>
      </c>
      <c r="D206" s="10487" t="s">
        <v>2518</v>
      </c>
      <c r="E206" s="10487" t="s">
        <v>2519</v>
      </c>
      <c r="F206" s="10487" t="s">
        <v>2520</v>
      </c>
      <c r="G206" s="10487" t="s">
        <v>2521</v>
      </c>
      <c r="H206" s="10487" t="s">
        <v>24</v>
      </c>
      <c r="I206" s="10487" t="s">
        <v>961</v>
      </c>
    </row>
    <row r="207" spans="1:9" ht="11.25" customHeight="1">
      <c r="A207" s="10487" t="s">
        <v>2306</v>
      </c>
      <c r="B207" s="10487" t="s">
        <v>14</v>
      </c>
      <c r="C207" s="10487" t="s">
        <v>2528</v>
      </c>
      <c r="D207" s="10487" t="s">
        <v>2529</v>
      </c>
      <c r="E207" s="10487" t="s">
        <v>2519</v>
      </c>
      <c r="F207" s="10487" t="s">
        <v>2530</v>
      </c>
      <c r="G207" s="10487" t="s">
        <v>2531</v>
      </c>
      <c r="H207" s="10487" t="s">
        <v>24</v>
      </c>
      <c r="I207" s="10487" t="s">
        <v>961</v>
      </c>
    </row>
    <row r="208" spans="1:9" ht="11.25" customHeight="1">
      <c r="A208" s="10487" t="s">
        <v>2306</v>
      </c>
      <c r="B208" s="10487" t="s">
        <v>14</v>
      </c>
      <c r="C208" s="10487" t="s">
        <v>2532</v>
      </c>
      <c r="D208" s="10487" t="s">
        <v>2533</v>
      </c>
      <c r="E208" s="10487" t="s">
        <v>2534</v>
      </c>
      <c r="F208" s="10487" t="s">
        <v>2535</v>
      </c>
      <c r="G208" s="10487" t="s">
        <v>24</v>
      </c>
      <c r="H208" s="10487" t="s">
        <v>24</v>
      </c>
      <c r="I208" s="10487" t="s">
        <v>961</v>
      </c>
    </row>
    <row r="209" spans="1:9" ht="11.25" customHeight="1">
      <c r="A209" s="10487" t="s">
        <v>2306</v>
      </c>
      <c r="B209" s="10487" t="s">
        <v>14</v>
      </c>
      <c r="C209" s="10487" t="s">
        <v>2541</v>
      </c>
      <c r="D209" s="10487" t="s">
        <v>2542</v>
      </c>
      <c r="E209" s="10487" t="s">
        <v>2543</v>
      </c>
      <c r="F209" s="10487" t="s">
        <v>2539</v>
      </c>
      <c r="G209" s="10487" t="s">
        <v>24</v>
      </c>
      <c r="H209" s="10487" t="s">
        <v>24</v>
      </c>
      <c r="I209" s="10487" t="s">
        <v>961</v>
      </c>
    </row>
    <row r="210" spans="1:9" ht="11.25" customHeight="1">
      <c r="A210" s="10487" t="s">
        <v>2306</v>
      </c>
      <c r="B210" s="10487" t="s">
        <v>14</v>
      </c>
      <c r="C210" s="10487" t="s">
        <v>2626</v>
      </c>
      <c r="D210" s="10487" t="s">
        <v>2627</v>
      </c>
      <c r="E210" s="10487" t="s">
        <v>2628</v>
      </c>
      <c r="F210" s="10487" t="s">
        <v>2629</v>
      </c>
      <c r="G210" s="10487" t="s">
        <v>24</v>
      </c>
      <c r="H210" s="10487" t="s">
        <v>24</v>
      </c>
      <c r="I210" s="10487" t="s">
        <v>961</v>
      </c>
    </row>
    <row r="211" spans="1:9" ht="11.25" customHeight="1">
      <c r="A211" s="10487" t="s">
        <v>2306</v>
      </c>
      <c r="B211" s="10487" t="s">
        <v>14</v>
      </c>
      <c r="C211" s="10487" t="s">
        <v>2547</v>
      </c>
      <c r="D211" s="10487" t="s">
        <v>2548</v>
      </c>
      <c r="E211" s="10487" t="s">
        <v>2549</v>
      </c>
      <c r="F211" s="10487" t="s">
        <v>2477</v>
      </c>
      <c r="G211" s="10487" t="s">
        <v>24</v>
      </c>
      <c r="H211" s="10487" t="s">
        <v>24</v>
      </c>
      <c r="I211" s="10487" t="s">
        <v>961</v>
      </c>
    </row>
    <row r="212" spans="1:9" ht="11.25" customHeight="1">
      <c r="A212" s="10487" t="s">
        <v>2306</v>
      </c>
      <c r="B212" s="10487" t="s">
        <v>14</v>
      </c>
      <c r="C212" s="10487" t="s">
        <v>2319</v>
      </c>
      <c r="D212" s="10487" t="s">
        <v>2320</v>
      </c>
      <c r="E212" s="10487" t="s">
        <v>2321</v>
      </c>
      <c r="F212" s="10487" t="s">
        <v>51</v>
      </c>
      <c r="G212" s="10487" t="s">
        <v>2322</v>
      </c>
      <c r="H212" s="10487" t="s">
        <v>24</v>
      </c>
      <c r="I212" s="10487" t="s">
        <v>1665</v>
      </c>
    </row>
    <row r="213" spans="1:9" ht="11.25" customHeight="1">
      <c r="A213" s="10487" t="s">
        <v>2306</v>
      </c>
      <c r="B213" s="10487" t="s">
        <v>14</v>
      </c>
      <c r="C213" s="10487" t="s">
        <v>24</v>
      </c>
      <c r="D213" s="10487" t="s">
        <v>2380</v>
      </c>
      <c r="E213" s="10487" t="s">
        <v>2381</v>
      </c>
      <c r="F213" s="10487" t="s">
        <v>51</v>
      </c>
      <c r="G213" s="10487" t="s">
        <v>24</v>
      </c>
      <c r="H213" s="10487" t="s">
        <v>24</v>
      </c>
      <c r="I213" s="10487" t="s">
        <v>1665</v>
      </c>
    </row>
    <row r="214" spans="1:9" ht="11.25" customHeight="1">
      <c r="A214" s="10487" t="s">
        <v>2306</v>
      </c>
      <c r="B214" s="10487" t="s">
        <v>14</v>
      </c>
      <c r="C214" s="10487" t="s">
        <v>2630</v>
      </c>
      <c r="D214" s="10487" t="s">
        <v>2631</v>
      </c>
      <c r="E214" s="10487" t="s">
        <v>2632</v>
      </c>
      <c r="F214" s="10487" t="s">
        <v>2334</v>
      </c>
      <c r="G214" s="10487" t="s">
        <v>24</v>
      </c>
      <c r="H214" s="10487" t="s">
        <v>24</v>
      </c>
      <c r="I214" s="10487" t="s">
        <v>1665</v>
      </c>
    </row>
    <row r="215" spans="1:9" ht="11.25" customHeight="1">
      <c r="A215" s="10487" t="s">
        <v>2306</v>
      </c>
      <c r="B215" s="10487" t="s">
        <v>14</v>
      </c>
      <c r="C215" s="10487" t="s">
        <v>2406</v>
      </c>
      <c r="D215" s="10487" t="s">
        <v>2407</v>
      </c>
      <c r="E215" s="10487" t="s">
        <v>2408</v>
      </c>
      <c r="F215" s="10487" t="s">
        <v>2350</v>
      </c>
      <c r="G215" s="10487" t="s">
        <v>24</v>
      </c>
      <c r="H215" s="10487" t="s">
        <v>24</v>
      </c>
      <c r="I215" s="10487" t="s">
        <v>1665</v>
      </c>
    </row>
    <row r="216" spans="1:9" ht="11.25" customHeight="1">
      <c r="A216" s="10487" t="s">
        <v>2306</v>
      </c>
      <c r="B216" s="10487" t="s">
        <v>14</v>
      </c>
      <c r="C216" s="10487" t="s">
        <v>2464</v>
      </c>
      <c r="D216" s="10487" t="s">
        <v>2465</v>
      </c>
      <c r="E216" s="10487" t="s">
        <v>2466</v>
      </c>
      <c r="F216" s="10487" t="s">
        <v>2467</v>
      </c>
      <c r="G216" s="10487" t="s">
        <v>2468</v>
      </c>
      <c r="H216" s="10487" t="s">
        <v>24</v>
      </c>
      <c r="I216" s="10487" t="s">
        <v>1665</v>
      </c>
    </row>
    <row r="217" spans="1:9" ht="11.25" customHeight="1">
      <c r="A217" s="10487" t="s">
        <v>2306</v>
      </c>
      <c r="B217" s="10487" t="s">
        <v>14</v>
      </c>
      <c r="C217" s="10487" t="s">
        <v>2633</v>
      </c>
      <c r="D217" s="10487" t="s">
        <v>2634</v>
      </c>
      <c r="E217" s="10487" t="s">
        <v>2635</v>
      </c>
      <c r="F217" s="10487" t="s">
        <v>2539</v>
      </c>
      <c r="G217" s="10487" t="s">
        <v>24</v>
      </c>
      <c r="H217" s="10487" t="s">
        <v>24</v>
      </c>
      <c r="I217" s="10487" t="s">
        <v>1665</v>
      </c>
    </row>
    <row r="218" spans="1:9" ht="11.25" customHeight="1">
      <c r="A218" s="10487" t="s">
        <v>2306</v>
      </c>
      <c r="B218" s="10487" t="s">
        <v>14</v>
      </c>
      <c r="C218" s="10487" t="s">
        <v>2636</v>
      </c>
      <c r="D218" s="10487" t="s">
        <v>2637</v>
      </c>
      <c r="E218" s="10487" t="s">
        <v>2638</v>
      </c>
      <c r="F218" s="10487" t="s">
        <v>2400</v>
      </c>
      <c r="G218" s="10487" t="s">
        <v>24</v>
      </c>
      <c r="H218" s="10487" t="s">
        <v>24</v>
      </c>
      <c r="I218" s="10487" t="s">
        <v>1665</v>
      </c>
    </row>
    <row r="219" spans="1:9" ht="11.25" customHeight="1">
      <c r="A219" s="10487" t="s">
        <v>2306</v>
      </c>
      <c r="B219" s="10487" t="s">
        <v>14</v>
      </c>
      <c r="C219" s="10487" t="s">
        <v>2639</v>
      </c>
      <c r="D219" s="10487" t="s">
        <v>2640</v>
      </c>
      <c r="E219" s="10487" t="s">
        <v>2641</v>
      </c>
      <c r="F219" s="10487" t="s">
        <v>2416</v>
      </c>
      <c r="G219" s="10487" t="s">
        <v>24</v>
      </c>
      <c r="H219" s="10487" t="s">
        <v>24</v>
      </c>
      <c r="I219" s="10487" t="s">
        <v>1665</v>
      </c>
    </row>
    <row r="220" spans="1:9" ht="11.25" customHeight="1">
      <c r="A220" s="10487" t="s">
        <v>2306</v>
      </c>
      <c r="B220" s="10487" t="s">
        <v>14</v>
      </c>
      <c r="C220" s="10487" t="s">
        <v>2642</v>
      </c>
      <c r="D220" s="10487" t="s">
        <v>2643</v>
      </c>
      <c r="E220" s="10487" t="s">
        <v>2644</v>
      </c>
      <c r="F220" s="10487" t="s">
        <v>2452</v>
      </c>
      <c r="G220" s="10487" t="s">
        <v>24</v>
      </c>
      <c r="H220" s="10487" t="s">
        <v>24</v>
      </c>
      <c r="I220" s="10487" t="s">
        <v>1665</v>
      </c>
    </row>
    <row r="221" spans="1:9" ht="11.25" customHeight="1">
      <c r="A221" s="10487" t="s">
        <v>2306</v>
      </c>
      <c r="B221" s="10487" t="s">
        <v>14</v>
      </c>
      <c r="C221" s="10487" t="s">
        <v>2645</v>
      </c>
      <c r="D221" s="10487" t="s">
        <v>2646</v>
      </c>
      <c r="E221" s="10487" t="s">
        <v>2647</v>
      </c>
      <c r="F221" s="10487" t="s">
        <v>51</v>
      </c>
      <c r="G221" s="10487" t="s">
        <v>24</v>
      </c>
      <c r="H221" s="10487" t="s">
        <v>24</v>
      </c>
      <c r="I221" s="10487" t="s">
        <v>1665</v>
      </c>
    </row>
    <row r="222" spans="1:9" ht="11.25" customHeight="1">
      <c r="A222" s="10487" t="s">
        <v>2306</v>
      </c>
      <c r="B222" s="10487" t="s">
        <v>14</v>
      </c>
      <c r="C222" s="10487" t="s">
        <v>2648</v>
      </c>
      <c r="D222" s="10487" t="s">
        <v>2649</v>
      </c>
      <c r="E222" s="10487" t="s">
        <v>2650</v>
      </c>
      <c r="F222" s="10487" t="s">
        <v>2350</v>
      </c>
      <c r="G222" s="10487" t="s">
        <v>24</v>
      </c>
      <c r="H222" s="10487" t="s">
        <v>24</v>
      </c>
      <c r="I222" s="10487" t="s">
        <v>1665</v>
      </c>
    </row>
    <row r="223" spans="1:9" ht="11.25" customHeight="1">
      <c r="A223" s="10487" t="s">
        <v>2306</v>
      </c>
      <c r="B223" s="10487" t="s">
        <v>14</v>
      </c>
      <c r="C223" s="10487" t="s">
        <v>2651</v>
      </c>
      <c r="D223" s="10487" t="s">
        <v>2652</v>
      </c>
      <c r="E223" s="10487" t="s">
        <v>2653</v>
      </c>
      <c r="F223" s="10487" t="s">
        <v>2359</v>
      </c>
      <c r="G223" s="10487" t="s">
        <v>24</v>
      </c>
      <c r="H223" s="10487" t="s">
        <v>24</v>
      </c>
      <c r="I223" s="10487" t="s">
        <v>1665</v>
      </c>
    </row>
    <row r="224" spans="1:9" ht="11.25" customHeight="1">
      <c r="A224" s="10487" t="s">
        <v>2306</v>
      </c>
      <c r="B224" s="10487" t="s">
        <v>14</v>
      </c>
      <c r="C224" s="10487" t="s">
        <v>2654</v>
      </c>
      <c r="D224" s="10487" t="s">
        <v>2655</v>
      </c>
      <c r="E224" s="10487" t="s">
        <v>2656</v>
      </c>
      <c r="F224" s="10487" t="s">
        <v>2385</v>
      </c>
      <c r="G224" s="10487" t="s">
        <v>24</v>
      </c>
      <c r="H224" s="10487" t="s">
        <v>24</v>
      </c>
      <c r="I224" s="10487" t="s">
        <v>1665</v>
      </c>
    </row>
    <row r="225" spans="1:9" ht="11.25" customHeight="1">
      <c r="A225" s="10487" t="s">
        <v>2306</v>
      </c>
      <c r="B225" s="10487" t="s">
        <v>14</v>
      </c>
      <c r="C225" s="10487" t="s">
        <v>2657</v>
      </c>
      <c r="D225" s="10487" t="s">
        <v>2658</v>
      </c>
      <c r="E225" s="10487" t="s">
        <v>2659</v>
      </c>
      <c r="F225" s="10487" t="s">
        <v>2405</v>
      </c>
      <c r="G225" s="10487" t="s">
        <v>2660</v>
      </c>
      <c r="H225" s="10487" t="s">
        <v>24</v>
      </c>
      <c r="I225" s="10487" t="s">
        <v>1665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15934"/>
  </cols>
  <sheetData>
    <row r="1" spans="1:7" ht="11.25" customHeight="1">
      <c r="A1" s="288" t="s">
        <v>2661</v>
      </c>
      <c r="B1" s="3" t="s">
        <v>2662</v>
      </c>
      <c r="C1" s="3" t="s">
        <v>2663</v>
      </c>
      <c r="D1" s="3" t="s">
        <v>2664</v>
      </c>
      <c r="E1" s="2" t="s">
        <v>2665</v>
      </c>
      <c r="F1" s="2" t="s">
        <v>2666</v>
      </c>
      <c r="G1" s="2" t="s">
        <v>2667</v>
      </c>
    </row>
    <row r="2" spans="1:7" ht="11.25" customHeight="1">
      <c r="A2" s="288" t="s">
        <v>14</v>
      </c>
      <c r="B2" t="s">
        <v>2668</v>
      </c>
      <c r="C2" t="s">
        <v>2669</v>
      </c>
      <c r="D2" t="s">
        <v>2668</v>
      </c>
      <c r="E2" t="s">
        <v>2669</v>
      </c>
      <c r="F2" t="s">
        <v>2670</v>
      </c>
      <c r="G2" t="s">
        <v>147</v>
      </c>
    </row>
    <row r="3" spans="1:7" ht="11.25" customHeight="1">
      <c r="A3" s="288" t="s">
        <v>14</v>
      </c>
      <c r="B3" t="s">
        <v>2671</v>
      </c>
      <c r="C3" t="s">
        <v>2672</v>
      </c>
      <c r="D3" t="s">
        <v>2671</v>
      </c>
      <c r="E3" t="s">
        <v>2672</v>
      </c>
      <c r="F3" t="s">
        <v>2670</v>
      </c>
      <c r="G3" t="s">
        <v>102</v>
      </c>
    </row>
    <row r="4" spans="1:7" ht="11.25" customHeight="1">
      <c r="A4" s="288" t="s">
        <v>14</v>
      </c>
      <c r="B4" t="s">
        <v>2673</v>
      </c>
      <c r="C4" t="s">
        <v>2674</v>
      </c>
      <c r="D4" t="s">
        <v>2673</v>
      </c>
      <c r="E4" t="s">
        <v>2674</v>
      </c>
      <c r="F4" t="s">
        <v>2670</v>
      </c>
      <c r="G4" t="s">
        <v>89</v>
      </c>
    </row>
    <row r="5" spans="1:7" ht="11.25" customHeight="1">
      <c r="A5" s="288" t="s">
        <v>14</v>
      </c>
      <c r="B5" t="s">
        <v>134</v>
      </c>
      <c r="C5" t="s">
        <v>135</v>
      </c>
      <c r="D5" t="s">
        <v>134</v>
      </c>
      <c r="E5" t="s">
        <v>135</v>
      </c>
      <c r="F5" t="s">
        <v>2670</v>
      </c>
      <c r="G5" t="s">
        <v>90</v>
      </c>
    </row>
    <row r="6" spans="1:7" ht="11.25" customHeight="1">
      <c r="A6" s="288" t="s">
        <v>14</v>
      </c>
      <c r="B6" t="s">
        <v>2675</v>
      </c>
      <c r="C6" t="s">
        <v>2676</v>
      </c>
      <c r="D6" t="s">
        <v>2675</v>
      </c>
      <c r="E6" t="s">
        <v>2676</v>
      </c>
      <c r="F6" t="s">
        <v>2670</v>
      </c>
      <c r="G6" t="s">
        <v>117</v>
      </c>
    </row>
    <row r="7" spans="1:7" ht="11.25" customHeight="1">
      <c r="A7" s="288" t="s">
        <v>14</v>
      </c>
      <c r="B7" t="s">
        <v>129</v>
      </c>
      <c r="C7" t="s">
        <v>2677</v>
      </c>
      <c r="D7" t="s">
        <v>2678</v>
      </c>
      <c r="E7" t="s">
        <v>2679</v>
      </c>
      <c r="F7" t="s">
        <v>2680</v>
      </c>
      <c r="G7" t="s">
        <v>91</v>
      </c>
    </row>
    <row r="8" spans="1:7" ht="11.25" customHeight="1">
      <c r="A8" s="288" t="s">
        <v>14</v>
      </c>
      <c r="B8" t="s">
        <v>129</v>
      </c>
      <c r="C8" t="s">
        <v>2677</v>
      </c>
      <c r="D8" t="s">
        <v>2681</v>
      </c>
      <c r="E8" t="s">
        <v>2682</v>
      </c>
      <c r="F8" t="s">
        <v>2683</v>
      </c>
      <c r="G8" t="s">
        <v>92</v>
      </c>
    </row>
    <row r="9" spans="1:7" ht="11.25" customHeight="1">
      <c r="A9" s="288" t="s">
        <v>14</v>
      </c>
      <c r="B9" t="s">
        <v>129</v>
      </c>
      <c r="C9" t="s">
        <v>2677</v>
      </c>
      <c r="D9" t="s">
        <v>2684</v>
      </c>
      <c r="E9" t="s">
        <v>2685</v>
      </c>
      <c r="F9" t="s">
        <v>2680</v>
      </c>
      <c r="G9" t="s">
        <v>132</v>
      </c>
    </row>
    <row r="10" spans="1:7" ht="11.25" customHeight="1">
      <c r="A10" s="288" t="s">
        <v>14</v>
      </c>
      <c r="B10" t="s">
        <v>129</v>
      </c>
      <c r="C10" t="s">
        <v>2677</v>
      </c>
      <c r="D10" t="s">
        <v>129</v>
      </c>
      <c r="E10" t="s">
        <v>2677</v>
      </c>
      <c r="F10" t="s">
        <v>2686</v>
      </c>
      <c r="G10" t="s">
        <v>136</v>
      </c>
    </row>
    <row r="11" spans="1:7" ht="11.25" customHeight="1">
      <c r="A11" s="288" t="s">
        <v>14</v>
      </c>
      <c r="B11" t="s">
        <v>129</v>
      </c>
      <c r="C11" t="s">
        <v>2677</v>
      </c>
      <c r="D11" t="s">
        <v>130</v>
      </c>
      <c r="E11" t="s">
        <v>131</v>
      </c>
      <c r="F11" t="s">
        <v>2687</v>
      </c>
      <c r="G11" t="s">
        <v>128</v>
      </c>
    </row>
    <row r="12" spans="1:7" ht="11.25" customHeight="1">
      <c r="A12" s="288" t="s">
        <v>14</v>
      </c>
      <c r="B12" t="s">
        <v>139</v>
      </c>
      <c r="C12" t="s">
        <v>140</v>
      </c>
      <c r="D12" t="s">
        <v>139</v>
      </c>
      <c r="E12" t="s">
        <v>140</v>
      </c>
      <c r="F12" t="s">
        <v>2688</v>
      </c>
      <c r="G12" t="s">
        <v>138</v>
      </c>
    </row>
    <row r="13" spans="1:7" ht="11.25" customHeight="1">
      <c r="A13" s="288" t="s">
        <v>14</v>
      </c>
      <c r="B13" t="s">
        <v>106</v>
      </c>
      <c r="C13" t="s">
        <v>2689</v>
      </c>
      <c r="D13" t="s">
        <v>106</v>
      </c>
      <c r="E13" t="s">
        <v>2689</v>
      </c>
      <c r="F13" t="s">
        <v>2686</v>
      </c>
      <c r="G13" t="s">
        <v>183</v>
      </c>
    </row>
    <row r="14" spans="1:7" ht="11.25" customHeight="1">
      <c r="A14" s="288" t="s">
        <v>14</v>
      </c>
      <c r="B14" t="s">
        <v>106</v>
      </c>
      <c r="C14" t="s">
        <v>2689</v>
      </c>
      <c r="D14" t="s">
        <v>2690</v>
      </c>
      <c r="E14" t="s">
        <v>2691</v>
      </c>
      <c r="F14" t="s">
        <v>2680</v>
      </c>
      <c r="G14" t="s">
        <v>184</v>
      </c>
    </row>
    <row r="15" spans="1:7" ht="11.25" customHeight="1">
      <c r="A15" s="288" t="s">
        <v>14</v>
      </c>
      <c r="B15" t="s">
        <v>106</v>
      </c>
      <c r="C15" t="s">
        <v>2689</v>
      </c>
      <c r="D15" t="s">
        <v>107</v>
      </c>
      <c r="E15" t="s">
        <v>108</v>
      </c>
      <c r="F15" t="s">
        <v>2687</v>
      </c>
      <c r="G15" t="s">
        <v>105</v>
      </c>
    </row>
    <row r="16" spans="1:7" ht="11.25" customHeight="1">
      <c r="A16" s="288" t="s">
        <v>14</v>
      </c>
      <c r="B16" t="s">
        <v>106</v>
      </c>
      <c r="C16" t="s">
        <v>2689</v>
      </c>
      <c r="D16" t="s">
        <v>111</v>
      </c>
      <c r="E16" t="s">
        <v>112</v>
      </c>
      <c r="F16" t="s">
        <v>2687</v>
      </c>
      <c r="G16" t="s">
        <v>110</v>
      </c>
    </row>
    <row r="17" spans="1:7" ht="11.25" customHeight="1">
      <c r="A17" s="288" t="s">
        <v>14</v>
      </c>
      <c r="B17" t="s">
        <v>106</v>
      </c>
      <c r="C17" t="s">
        <v>2689</v>
      </c>
      <c r="D17" t="s">
        <v>2692</v>
      </c>
      <c r="E17" t="s">
        <v>2693</v>
      </c>
      <c r="F17" t="s">
        <v>2687</v>
      </c>
      <c r="G17" t="s">
        <v>1521</v>
      </c>
    </row>
    <row r="18" spans="1:7" ht="11.25" customHeight="1">
      <c r="A18" s="288" t="s">
        <v>14</v>
      </c>
      <c r="B18" t="s">
        <v>106</v>
      </c>
      <c r="C18" t="s">
        <v>2689</v>
      </c>
      <c r="D18" t="s">
        <v>2694</v>
      </c>
      <c r="E18" t="s">
        <v>2695</v>
      </c>
      <c r="F18" t="s">
        <v>2687</v>
      </c>
      <c r="G18" t="s">
        <v>1532</v>
      </c>
    </row>
    <row r="19" spans="1:7" ht="11.25" customHeight="1">
      <c r="A19" s="288" t="s">
        <v>14</v>
      </c>
      <c r="B19" t="s">
        <v>106</v>
      </c>
      <c r="C19" t="s">
        <v>2689</v>
      </c>
      <c r="D19" t="s">
        <v>2696</v>
      </c>
      <c r="E19" t="s">
        <v>2697</v>
      </c>
      <c r="F19" t="s">
        <v>2680</v>
      </c>
      <c r="G19" t="s">
        <v>1546</v>
      </c>
    </row>
    <row r="20" spans="1:7" ht="11.25" customHeight="1">
      <c r="A20" s="288" t="s">
        <v>14</v>
      </c>
      <c r="B20" t="s">
        <v>106</v>
      </c>
      <c r="C20" t="s">
        <v>2689</v>
      </c>
      <c r="D20" t="s">
        <v>2698</v>
      </c>
      <c r="E20" t="s">
        <v>2699</v>
      </c>
      <c r="F20" t="s">
        <v>2680</v>
      </c>
      <c r="G20" t="s">
        <v>1558</v>
      </c>
    </row>
    <row r="21" spans="1:7" ht="11.25" customHeight="1">
      <c r="A21" s="288" t="s">
        <v>14</v>
      </c>
      <c r="B21" t="s">
        <v>106</v>
      </c>
      <c r="C21" t="s">
        <v>2689</v>
      </c>
      <c r="D21" t="s">
        <v>2700</v>
      </c>
      <c r="E21" t="s">
        <v>2701</v>
      </c>
      <c r="F21" t="s">
        <v>2680</v>
      </c>
      <c r="G21" t="s">
        <v>1567</v>
      </c>
    </row>
    <row r="22" spans="1:7" ht="11.25" customHeight="1">
      <c r="A22" s="288" t="s">
        <v>14</v>
      </c>
      <c r="B22" t="s">
        <v>106</v>
      </c>
      <c r="C22" t="s">
        <v>2689</v>
      </c>
      <c r="D22" t="s">
        <v>2702</v>
      </c>
      <c r="E22" t="s">
        <v>2703</v>
      </c>
      <c r="F22" t="s">
        <v>2683</v>
      </c>
      <c r="G22" t="s">
        <v>1583</v>
      </c>
    </row>
    <row r="23" spans="1:7" ht="11.25" customHeight="1">
      <c r="A23" s="288" t="s">
        <v>14</v>
      </c>
      <c r="B23" t="s">
        <v>106</v>
      </c>
      <c r="C23" t="s">
        <v>2689</v>
      </c>
      <c r="D23" t="s">
        <v>2704</v>
      </c>
      <c r="E23" t="s">
        <v>2705</v>
      </c>
      <c r="F23" t="s">
        <v>2687</v>
      </c>
      <c r="G23" t="s">
        <v>1590</v>
      </c>
    </row>
    <row r="24" spans="1:7" ht="11.25" customHeight="1">
      <c r="A24" s="288" t="s">
        <v>14</v>
      </c>
      <c r="B24" t="s">
        <v>106</v>
      </c>
      <c r="C24" t="s">
        <v>2689</v>
      </c>
      <c r="D24" t="s">
        <v>115</v>
      </c>
      <c r="E24" t="s">
        <v>116</v>
      </c>
      <c r="F24" t="s">
        <v>2680</v>
      </c>
      <c r="G24" t="s">
        <v>114</v>
      </c>
    </row>
    <row r="25" spans="1:7" ht="11.25" customHeight="1">
      <c r="A25" s="288" t="s">
        <v>14</v>
      </c>
      <c r="B25" t="s">
        <v>120</v>
      </c>
      <c r="C25" t="s">
        <v>2706</v>
      </c>
      <c r="D25" t="s">
        <v>120</v>
      </c>
      <c r="E25" t="s">
        <v>2706</v>
      </c>
      <c r="F25" t="s">
        <v>2686</v>
      </c>
      <c r="G25" t="s">
        <v>1604</v>
      </c>
    </row>
    <row r="26" spans="1:7" ht="11.25" customHeight="1">
      <c r="A26" s="288" t="s">
        <v>14</v>
      </c>
      <c r="B26" t="s">
        <v>120</v>
      </c>
      <c r="C26" t="s">
        <v>2706</v>
      </c>
      <c r="D26" t="s">
        <v>2707</v>
      </c>
      <c r="E26" t="s">
        <v>2708</v>
      </c>
      <c r="F26" t="s">
        <v>2687</v>
      </c>
      <c r="G26" t="s">
        <v>1608</v>
      </c>
    </row>
    <row r="27" spans="1:7" ht="11.25" customHeight="1">
      <c r="A27" s="288" t="s">
        <v>14</v>
      </c>
      <c r="B27" t="s">
        <v>120</v>
      </c>
      <c r="C27" t="s">
        <v>2706</v>
      </c>
      <c r="D27" t="s">
        <v>121</v>
      </c>
      <c r="E27" t="s">
        <v>122</v>
      </c>
      <c r="F27" t="s">
        <v>2680</v>
      </c>
      <c r="G27" t="s">
        <v>119</v>
      </c>
    </row>
    <row r="28" spans="1:7" ht="11.25" customHeight="1">
      <c r="A28" s="288" t="s">
        <v>14</v>
      </c>
      <c r="B28" t="s">
        <v>2709</v>
      </c>
      <c r="C28" t="s">
        <v>2710</v>
      </c>
      <c r="D28" t="s">
        <v>2709</v>
      </c>
      <c r="E28" t="s">
        <v>2710</v>
      </c>
      <c r="F28" t="s">
        <v>2688</v>
      </c>
      <c r="G28" t="s">
        <v>1620</v>
      </c>
    </row>
    <row r="29" spans="1:7" ht="11.25" customHeight="1">
      <c r="A29" s="288" t="s">
        <v>14</v>
      </c>
      <c r="B29" t="s">
        <v>2711</v>
      </c>
      <c r="C29" t="s">
        <v>2712</v>
      </c>
      <c r="D29" t="s">
        <v>2713</v>
      </c>
      <c r="E29" t="s">
        <v>2714</v>
      </c>
      <c r="F29" t="s">
        <v>2680</v>
      </c>
      <c r="G29" t="s">
        <v>1622</v>
      </c>
    </row>
    <row r="30" spans="1:7" ht="11.25" customHeight="1">
      <c r="A30" s="288" t="s">
        <v>14</v>
      </c>
      <c r="B30" t="s">
        <v>2711</v>
      </c>
      <c r="C30" t="s">
        <v>2712</v>
      </c>
      <c r="D30" t="s">
        <v>2715</v>
      </c>
      <c r="E30" t="s">
        <v>2716</v>
      </c>
      <c r="F30" t="s">
        <v>2687</v>
      </c>
      <c r="G30" t="s">
        <v>1625</v>
      </c>
    </row>
    <row r="31" spans="1:7" ht="11.25" customHeight="1">
      <c r="A31" s="288" t="s">
        <v>14</v>
      </c>
      <c r="B31" t="s">
        <v>2711</v>
      </c>
      <c r="C31" t="s">
        <v>2712</v>
      </c>
      <c r="D31" t="s">
        <v>2711</v>
      </c>
      <c r="E31" t="s">
        <v>2712</v>
      </c>
      <c r="F31" t="s">
        <v>2686</v>
      </c>
      <c r="G31" t="s">
        <v>1630</v>
      </c>
    </row>
    <row r="32" spans="1:7" ht="11.25" customHeight="1">
      <c r="A32" s="288" t="s">
        <v>14</v>
      </c>
      <c r="B32" t="s">
        <v>2717</v>
      </c>
      <c r="C32" t="s">
        <v>2718</v>
      </c>
      <c r="D32" t="s">
        <v>2717</v>
      </c>
      <c r="E32" t="s">
        <v>2718</v>
      </c>
      <c r="F32" t="s">
        <v>2688</v>
      </c>
      <c r="G32" t="s">
        <v>1632</v>
      </c>
    </row>
    <row r="33" spans="1:7" ht="11.25" customHeight="1">
      <c r="A33" s="288" t="s">
        <v>14</v>
      </c>
      <c r="B33" t="s">
        <v>2719</v>
      </c>
      <c r="C33" t="s">
        <v>2720</v>
      </c>
      <c r="D33" t="s">
        <v>2719</v>
      </c>
      <c r="E33" t="s">
        <v>2720</v>
      </c>
      <c r="F33" t="s">
        <v>2688</v>
      </c>
      <c r="G33" t="s">
        <v>1634</v>
      </c>
    </row>
    <row r="34" spans="1:7" ht="11.25" customHeight="1">
      <c r="A34" s="288" t="s">
        <v>14</v>
      </c>
      <c r="B34" t="s">
        <v>2721</v>
      </c>
      <c r="C34" t="s">
        <v>2722</v>
      </c>
      <c r="D34" t="s">
        <v>2721</v>
      </c>
      <c r="E34" t="s">
        <v>2722</v>
      </c>
      <c r="F34" t="s">
        <v>2688</v>
      </c>
      <c r="G34" t="s">
        <v>1636</v>
      </c>
    </row>
    <row r="35" spans="1:7" ht="11.25" customHeight="1">
      <c r="A35" s="288" t="s">
        <v>14</v>
      </c>
      <c r="B35" t="s">
        <v>125</v>
      </c>
      <c r="C35" t="s">
        <v>126</v>
      </c>
      <c r="D35" t="s">
        <v>125</v>
      </c>
      <c r="E35" t="s">
        <v>126</v>
      </c>
      <c r="F35" t="s">
        <v>2688</v>
      </c>
      <c r="G35" t="s">
        <v>124</v>
      </c>
    </row>
    <row r="36" spans="1:7" ht="11.25" customHeight="1">
      <c r="A36" s="288" t="s">
        <v>14</v>
      </c>
      <c r="B36" t="s">
        <v>2723</v>
      </c>
      <c r="C36" t="s">
        <v>2724</v>
      </c>
      <c r="D36" t="s">
        <v>2723</v>
      </c>
      <c r="E36" t="s">
        <v>2724</v>
      </c>
      <c r="F36" t="s">
        <v>2688</v>
      </c>
      <c r="G36" t="s">
        <v>1645</v>
      </c>
    </row>
    <row r="37" spans="1:7" ht="11.25" customHeight="1">
      <c r="A37" s="288" t="s">
        <v>14</v>
      </c>
      <c r="B37" t="s">
        <v>99</v>
      </c>
      <c r="C37" t="s">
        <v>100</v>
      </c>
      <c r="D37" t="s">
        <v>99</v>
      </c>
      <c r="E37" t="s">
        <v>100</v>
      </c>
      <c r="F37" t="s">
        <v>2670</v>
      </c>
      <c r="G37" t="s">
        <v>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5938" customWidth="1"/>
    <col min="2" max="2" width="10.42578125" style="15938" customWidth="1"/>
    <col min="3" max="3" width="7.5703125" style="15939" customWidth="1"/>
    <col min="4" max="4" width="13.85546875" style="15938" customWidth="1"/>
    <col min="5" max="5" width="11.5703125" style="15938" customWidth="1"/>
    <col min="6" max="6" width="16.28515625" style="15938" customWidth="1"/>
    <col min="7" max="7" width="16" style="15938" customWidth="1"/>
    <col min="8" max="9" width="16.140625" style="15938" customWidth="1"/>
  </cols>
  <sheetData>
    <row r="1" spans="1:9" ht="11.25" customHeight="1">
      <c r="A1" s="733" t="s">
        <v>2725</v>
      </c>
      <c r="B1" s="733" t="s">
        <v>2726</v>
      </c>
      <c r="C1" s="1040" t="s">
        <v>2727</v>
      </c>
      <c r="D1" s="733" t="s">
        <v>2728</v>
      </c>
      <c r="E1" s="733" t="s">
        <v>2729</v>
      </c>
      <c r="F1" s="1040" t="s">
        <v>2730</v>
      </c>
      <c r="G1" s="1040" t="s">
        <v>2731</v>
      </c>
      <c r="H1" s="1040" t="s">
        <v>2732</v>
      </c>
      <c r="I1" s="1040" t="s">
        <v>2733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0"/>
  <sheetViews>
    <sheetView showGridLines="0" workbookViewId="0"/>
  </sheetViews>
  <sheetFormatPr defaultColWidth="9.140625" defaultRowHeight="11.25" customHeight="1"/>
  <cols>
    <col min="1" max="2" width="9.140625" style="1"/>
  </cols>
  <sheetData>
    <row r="1" spans="1:2" ht="11.25" customHeight="1">
      <c r="A1" s="1" t="s">
        <v>165</v>
      </c>
      <c r="B1" s="1" t="s">
        <v>2734</v>
      </c>
    </row>
    <row r="2" spans="1:2" ht="11.25" customHeight="1">
      <c r="A2" s="1" t="s">
        <v>97</v>
      </c>
      <c r="B2" s="1" t="s">
        <v>2735</v>
      </c>
    </row>
    <row r="3" spans="1:2" ht="11.25" customHeight="1">
      <c r="A3" s="1" t="s">
        <v>104</v>
      </c>
      <c r="B3" s="1" t="s">
        <v>2736</v>
      </c>
    </row>
    <row r="4" spans="1:2" ht="11.25" customHeight="1">
      <c r="A4" s="1" t="s">
        <v>109</v>
      </c>
      <c r="B4" s="1" t="s">
        <v>2737</v>
      </c>
    </row>
    <row r="5" spans="1:2" ht="11.25" customHeight="1">
      <c r="A5" s="1" t="s">
        <v>113</v>
      </c>
      <c r="B5" s="1" t="s">
        <v>2738</v>
      </c>
    </row>
    <row r="6" spans="1:2" ht="11.25" customHeight="1">
      <c r="A6" s="1" t="s">
        <v>118</v>
      </c>
      <c r="B6" s="1" t="s">
        <v>2739</v>
      </c>
    </row>
    <row r="7" spans="1:2" ht="11.25" customHeight="1">
      <c r="A7" s="1" t="s">
        <v>123</v>
      </c>
      <c r="B7" s="1" t="s">
        <v>2740</v>
      </c>
    </row>
    <row r="8" spans="1:2" ht="11.25" customHeight="1">
      <c r="A8" s="1" t="s">
        <v>127</v>
      </c>
      <c r="B8" s="1" t="s">
        <v>2741</v>
      </c>
    </row>
    <row r="9" spans="1:2" ht="11.25" customHeight="1">
      <c r="A9" s="1" t="s">
        <v>133</v>
      </c>
      <c r="B9" s="1" t="s">
        <v>2742</v>
      </c>
    </row>
    <row r="10" spans="1:2" ht="11.25" customHeight="1">
      <c r="A10" s="1" t="s">
        <v>137</v>
      </c>
      <c r="B10" s="1" t="s">
        <v>2743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5938"/>
    <col min="2" max="2" width="65.28515625" style="15938" customWidth="1"/>
  </cols>
  <sheetData>
    <row r="1" spans="1:2" ht="11.25" customHeight="1">
      <c r="A1" s="733" t="s">
        <v>2744</v>
      </c>
      <c r="B1" s="733" t="s">
        <v>2745</v>
      </c>
    </row>
    <row r="2" spans="1:2" ht="11.25" customHeight="1">
      <c r="A2" s="733">
        <v>4213775</v>
      </c>
      <c r="B2" s="733" t="s">
        <v>1275</v>
      </c>
    </row>
    <row r="3" spans="1:2" ht="11.25" customHeight="1">
      <c r="A3" s="733">
        <v>4213784</v>
      </c>
      <c r="B3" s="733" t="s">
        <v>1309</v>
      </c>
    </row>
    <row r="4" spans="1:2" ht="11.25" customHeight="1">
      <c r="A4" s="733">
        <v>4213781</v>
      </c>
      <c r="B4" s="733" t="s">
        <v>1302</v>
      </c>
    </row>
    <row r="5" spans="1:2" ht="11.25" customHeight="1">
      <c r="A5" s="733">
        <v>4213776</v>
      </c>
      <c r="B5" s="733" t="s">
        <v>197</v>
      </c>
    </row>
    <row r="6" spans="1:2" ht="11.25" customHeight="1">
      <c r="A6" s="733">
        <v>4213777</v>
      </c>
      <c r="B6" s="733" t="s">
        <v>203</v>
      </c>
    </row>
    <row r="7" spans="1:2" ht="11.25" customHeight="1">
      <c r="A7" s="733">
        <v>4213778</v>
      </c>
      <c r="B7" s="733" t="s">
        <v>209</v>
      </c>
    </row>
    <row r="8" spans="1:2" ht="11.25" customHeight="1">
      <c r="A8" s="733">
        <v>4213780</v>
      </c>
      <c r="B8" s="733" t="s">
        <v>215</v>
      </c>
    </row>
    <row r="9" spans="1:2" ht="11.25" customHeight="1">
      <c r="A9" s="733">
        <v>4213779</v>
      </c>
      <c r="B9" s="733" t="s">
        <v>1442</v>
      </c>
    </row>
    <row r="10" spans="1:2" ht="11.25" customHeight="1">
      <c r="A10" s="733">
        <v>4213783</v>
      </c>
      <c r="B10" s="733" t="s">
        <v>233</v>
      </c>
    </row>
    <row r="11" spans="1:2" ht="11.25" customHeight="1">
      <c r="A11" s="733">
        <v>4213782</v>
      </c>
      <c r="B11" s="733" t="s">
        <v>221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5938"/>
    <col min="2" max="2" width="65.28515625" style="15938" customWidth="1"/>
  </cols>
  <sheetData>
    <row r="1" spans="1:2" ht="11.25" customHeight="1">
      <c r="A1" s="733" t="s">
        <v>2744</v>
      </c>
      <c r="B1" s="733" t="s">
        <v>2746</v>
      </c>
    </row>
    <row r="2" spans="1:2" ht="11.25" customHeight="1">
      <c r="A2" s="733" t="s">
        <v>2747</v>
      </c>
      <c r="B2" s="733" t="s">
        <v>1554</v>
      </c>
    </row>
    <row r="3" spans="1:2" ht="11.25" customHeight="1">
      <c r="A3" s="733" t="s">
        <v>2748</v>
      </c>
      <c r="B3" s="733" t="s">
        <v>1564</v>
      </c>
    </row>
    <row r="4" spans="1:2" ht="11.25" customHeight="1">
      <c r="A4" s="733" t="s">
        <v>2749</v>
      </c>
      <c r="B4" s="733"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
  <sheetViews>
    <sheetView showGridLines="0" workbookViewId="0"/>
  </sheetViews>
  <sheetFormatPr defaultRowHeight="11.25" customHeight="1"/>
  <sheetData>
    <row r="1" spans="1:7" ht="11.25" customHeight="1">
      <c r="A1" s="288" t="s">
        <v>2661</v>
      </c>
      <c r="B1" s="288" t="s">
        <v>2662</v>
      </c>
      <c r="C1" s="288" t="s">
        <v>2663</v>
      </c>
      <c r="D1" s="288" t="s">
        <v>2664</v>
      </c>
      <c r="E1" t="s">
        <v>2665</v>
      </c>
      <c r="F1" t="s">
        <v>2666</v>
      </c>
      <c r="G1" t="s">
        <v>2667</v>
      </c>
    </row>
    <row r="2" spans="1:7" ht="11.25" customHeight="1">
      <c r="A2" t="s">
        <v>14</v>
      </c>
      <c r="B2" t="s">
        <v>2668</v>
      </c>
      <c r="C2" t="s">
        <v>2669</v>
      </c>
      <c r="D2" t="s">
        <v>2668</v>
      </c>
      <c r="E2" t="s">
        <v>2669</v>
      </c>
      <c r="F2" t="s">
        <v>2670</v>
      </c>
      <c r="G2" t="s">
        <v>147</v>
      </c>
    </row>
    <row r="3" spans="1:7" ht="11.25" customHeight="1">
      <c r="A3" t="s">
        <v>14</v>
      </c>
      <c r="B3" t="s">
        <v>2671</v>
      </c>
      <c r="C3" t="s">
        <v>2672</v>
      </c>
      <c r="D3" t="s">
        <v>2671</v>
      </c>
      <c r="E3" t="s">
        <v>2672</v>
      </c>
      <c r="F3" t="s">
        <v>2670</v>
      </c>
      <c r="G3" t="s">
        <v>102</v>
      </c>
    </row>
    <row r="4" spans="1:7" ht="11.25" customHeight="1">
      <c r="A4" t="s">
        <v>14</v>
      </c>
      <c r="B4" t="s">
        <v>2673</v>
      </c>
      <c r="C4" t="s">
        <v>2674</v>
      </c>
      <c r="D4" t="s">
        <v>2673</v>
      </c>
      <c r="E4" t="s">
        <v>2674</v>
      </c>
      <c r="F4" t="s">
        <v>2670</v>
      </c>
      <c r="G4" t="s">
        <v>89</v>
      </c>
    </row>
    <row r="5" spans="1:7" ht="11.25" customHeight="1">
      <c r="A5" t="s">
        <v>14</v>
      </c>
      <c r="B5" t="s">
        <v>134</v>
      </c>
      <c r="C5" t="s">
        <v>135</v>
      </c>
      <c r="D5" t="s">
        <v>134</v>
      </c>
      <c r="E5" t="s">
        <v>135</v>
      </c>
      <c r="F5" t="s">
        <v>2670</v>
      </c>
      <c r="G5" t="s">
        <v>90</v>
      </c>
    </row>
    <row r="6" spans="1:7" ht="11.25" customHeight="1">
      <c r="A6" t="s">
        <v>14</v>
      </c>
      <c r="B6" t="s">
        <v>2675</v>
      </c>
      <c r="C6" t="s">
        <v>2676</v>
      </c>
      <c r="D6" t="s">
        <v>2675</v>
      </c>
      <c r="E6" t="s">
        <v>2676</v>
      </c>
      <c r="F6" t="s">
        <v>2670</v>
      </c>
      <c r="G6" t="s">
        <v>117</v>
      </c>
    </row>
    <row r="7" spans="1:7" ht="11.25" customHeight="1">
      <c r="A7" t="s">
        <v>14</v>
      </c>
      <c r="B7" t="s">
        <v>129</v>
      </c>
      <c r="C7" t="s">
        <v>2677</v>
      </c>
      <c r="D7" t="s">
        <v>2678</v>
      </c>
      <c r="E7" t="s">
        <v>2679</v>
      </c>
      <c r="F7" t="s">
        <v>2680</v>
      </c>
      <c r="G7" t="s">
        <v>91</v>
      </c>
    </row>
    <row r="8" spans="1:7" ht="11.25" customHeight="1">
      <c r="A8" t="s">
        <v>14</v>
      </c>
      <c r="B8" t="s">
        <v>129</v>
      </c>
      <c r="C8" t="s">
        <v>2677</v>
      </c>
      <c r="D8" t="s">
        <v>2681</v>
      </c>
      <c r="E8" t="s">
        <v>2682</v>
      </c>
      <c r="F8" t="s">
        <v>2683</v>
      </c>
      <c r="G8" t="s">
        <v>92</v>
      </c>
    </row>
    <row r="9" spans="1:7" ht="11.25" customHeight="1">
      <c r="A9" t="s">
        <v>14</v>
      </c>
      <c r="B9" t="s">
        <v>129</v>
      </c>
      <c r="C9" t="s">
        <v>2677</v>
      </c>
      <c r="D9" t="s">
        <v>2684</v>
      </c>
      <c r="E9" t="s">
        <v>2685</v>
      </c>
      <c r="F9" t="s">
        <v>2680</v>
      </c>
      <c r="G9" t="s">
        <v>132</v>
      </c>
    </row>
    <row r="10" spans="1:7" ht="11.25" customHeight="1">
      <c r="A10" t="s">
        <v>14</v>
      </c>
      <c r="B10" t="s">
        <v>129</v>
      </c>
      <c r="C10" t="s">
        <v>2677</v>
      </c>
      <c r="D10" t="s">
        <v>129</v>
      </c>
      <c r="E10" t="s">
        <v>2677</v>
      </c>
      <c r="F10" t="s">
        <v>2686</v>
      </c>
      <c r="G10" t="s">
        <v>136</v>
      </c>
    </row>
    <row r="11" spans="1:7" ht="11.25" customHeight="1">
      <c r="A11" t="s">
        <v>14</v>
      </c>
      <c r="B11" t="s">
        <v>129</v>
      </c>
      <c r="C11" t="s">
        <v>2677</v>
      </c>
      <c r="D11" t="s">
        <v>130</v>
      </c>
      <c r="E11" t="s">
        <v>131</v>
      </c>
      <c r="F11" t="s">
        <v>2687</v>
      </c>
      <c r="G11" t="s">
        <v>128</v>
      </c>
    </row>
    <row r="12" spans="1:7" ht="11.25" customHeight="1">
      <c r="A12" t="s">
        <v>14</v>
      </c>
      <c r="B12" t="s">
        <v>139</v>
      </c>
      <c r="C12" t="s">
        <v>140</v>
      </c>
      <c r="D12" t="s">
        <v>139</v>
      </c>
      <c r="E12" t="s">
        <v>140</v>
      </c>
      <c r="F12" t="s">
        <v>2688</v>
      </c>
      <c r="G12" t="s">
        <v>138</v>
      </c>
    </row>
    <row r="13" spans="1:7" ht="11.25" customHeight="1">
      <c r="A13" t="s">
        <v>14</v>
      </c>
      <c r="B13" t="s">
        <v>106</v>
      </c>
      <c r="C13" t="s">
        <v>2689</v>
      </c>
      <c r="D13" t="s">
        <v>106</v>
      </c>
      <c r="E13" t="s">
        <v>2689</v>
      </c>
      <c r="F13" t="s">
        <v>2686</v>
      </c>
      <c r="G13" t="s">
        <v>183</v>
      </c>
    </row>
    <row r="14" spans="1:7" ht="11.25" customHeight="1">
      <c r="A14" t="s">
        <v>14</v>
      </c>
      <c r="B14" t="s">
        <v>106</v>
      </c>
      <c r="C14" t="s">
        <v>2689</v>
      </c>
      <c r="D14" t="s">
        <v>2690</v>
      </c>
      <c r="E14" t="s">
        <v>2691</v>
      </c>
      <c r="F14" t="s">
        <v>2680</v>
      </c>
      <c r="G14" t="s">
        <v>184</v>
      </c>
    </row>
    <row r="15" spans="1:7" ht="11.25" customHeight="1">
      <c r="A15" t="s">
        <v>14</v>
      </c>
      <c r="B15" t="s">
        <v>106</v>
      </c>
      <c r="C15" t="s">
        <v>2689</v>
      </c>
      <c r="D15" t="s">
        <v>107</v>
      </c>
      <c r="E15" t="s">
        <v>108</v>
      </c>
      <c r="F15" t="s">
        <v>2687</v>
      </c>
      <c r="G15" t="s">
        <v>105</v>
      </c>
    </row>
    <row r="16" spans="1:7" ht="11.25" customHeight="1">
      <c r="A16" t="s">
        <v>14</v>
      </c>
      <c r="B16" t="s">
        <v>106</v>
      </c>
      <c r="C16" t="s">
        <v>2689</v>
      </c>
      <c r="D16" t="s">
        <v>111</v>
      </c>
      <c r="E16" t="s">
        <v>112</v>
      </c>
      <c r="F16" t="s">
        <v>2687</v>
      </c>
      <c r="G16" t="s">
        <v>110</v>
      </c>
    </row>
    <row r="17" spans="1:7" ht="11.25" customHeight="1">
      <c r="A17" t="s">
        <v>14</v>
      </c>
      <c r="B17" t="s">
        <v>106</v>
      </c>
      <c r="C17" t="s">
        <v>2689</v>
      </c>
      <c r="D17" t="s">
        <v>2692</v>
      </c>
      <c r="E17" t="s">
        <v>2693</v>
      </c>
      <c r="F17" t="s">
        <v>2687</v>
      </c>
      <c r="G17" t="s">
        <v>1521</v>
      </c>
    </row>
    <row r="18" spans="1:7" ht="11.25" customHeight="1">
      <c r="A18" t="s">
        <v>14</v>
      </c>
      <c r="B18" t="s">
        <v>106</v>
      </c>
      <c r="C18" t="s">
        <v>2689</v>
      </c>
      <c r="D18" t="s">
        <v>2694</v>
      </c>
      <c r="E18" t="s">
        <v>2695</v>
      </c>
      <c r="F18" t="s">
        <v>2687</v>
      </c>
      <c r="G18" t="s">
        <v>1532</v>
      </c>
    </row>
    <row r="19" spans="1:7" ht="11.25" customHeight="1">
      <c r="A19" t="s">
        <v>14</v>
      </c>
      <c r="B19" t="s">
        <v>106</v>
      </c>
      <c r="C19" t="s">
        <v>2689</v>
      </c>
      <c r="D19" t="s">
        <v>2696</v>
      </c>
      <c r="E19" t="s">
        <v>2697</v>
      </c>
      <c r="F19" t="s">
        <v>2680</v>
      </c>
      <c r="G19" t="s">
        <v>1546</v>
      </c>
    </row>
    <row r="20" spans="1:7" ht="11.25" customHeight="1">
      <c r="A20" t="s">
        <v>14</v>
      </c>
      <c r="B20" t="s">
        <v>106</v>
      </c>
      <c r="C20" t="s">
        <v>2689</v>
      </c>
      <c r="D20" t="s">
        <v>2698</v>
      </c>
      <c r="E20" t="s">
        <v>2699</v>
      </c>
      <c r="F20" t="s">
        <v>2680</v>
      </c>
      <c r="G20" t="s">
        <v>1558</v>
      </c>
    </row>
    <row r="21" spans="1:7" ht="11.25" customHeight="1">
      <c r="A21" t="s">
        <v>14</v>
      </c>
      <c r="B21" t="s">
        <v>106</v>
      </c>
      <c r="C21" t="s">
        <v>2689</v>
      </c>
      <c r="D21" t="s">
        <v>2700</v>
      </c>
      <c r="E21" t="s">
        <v>2701</v>
      </c>
      <c r="F21" t="s">
        <v>2680</v>
      </c>
      <c r="G21" t="s">
        <v>1567</v>
      </c>
    </row>
    <row r="22" spans="1:7" ht="11.25" customHeight="1">
      <c r="A22" t="s">
        <v>14</v>
      </c>
      <c r="B22" t="s">
        <v>106</v>
      </c>
      <c r="C22" t="s">
        <v>2689</v>
      </c>
      <c r="D22" t="s">
        <v>2702</v>
      </c>
      <c r="E22" t="s">
        <v>2703</v>
      </c>
      <c r="F22" t="s">
        <v>2683</v>
      </c>
      <c r="G22" t="s">
        <v>1583</v>
      </c>
    </row>
    <row r="23" spans="1:7" ht="11.25" customHeight="1">
      <c r="A23" t="s">
        <v>14</v>
      </c>
      <c r="B23" t="s">
        <v>106</v>
      </c>
      <c r="C23" t="s">
        <v>2689</v>
      </c>
      <c r="D23" t="s">
        <v>2704</v>
      </c>
      <c r="E23" t="s">
        <v>2705</v>
      </c>
      <c r="F23" t="s">
        <v>2687</v>
      </c>
      <c r="G23" t="s">
        <v>1590</v>
      </c>
    </row>
    <row r="24" spans="1:7" ht="11.25" customHeight="1">
      <c r="A24" t="s">
        <v>14</v>
      </c>
      <c r="B24" t="s">
        <v>106</v>
      </c>
      <c r="C24" t="s">
        <v>2689</v>
      </c>
      <c r="D24" t="s">
        <v>115</v>
      </c>
      <c r="E24" t="s">
        <v>116</v>
      </c>
      <c r="F24" t="s">
        <v>2680</v>
      </c>
      <c r="G24" t="s">
        <v>114</v>
      </c>
    </row>
    <row r="25" spans="1:7" ht="11.25" customHeight="1">
      <c r="A25" t="s">
        <v>14</v>
      </c>
      <c r="B25" t="s">
        <v>120</v>
      </c>
      <c r="C25" t="s">
        <v>2706</v>
      </c>
      <c r="D25" t="s">
        <v>120</v>
      </c>
      <c r="E25" t="s">
        <v>2706</v>
      </c>
      <c r="F25" t="s">
        <v>2686</v>
      </c>
      <c r="G25" t="s">
        <v>1604</v>
      </c>
    </row>
    <row r="26" spans="1:7" ht="11.25" customHeight="1">
      <c r="A26" t="s">
        <v>14</v>
      </c>
      <c r="B26" t="s">
        <v>120</v>
      </c>
      <c r="C26" t="s">
        <v>2706</v>
      </c>
      <c r="D26" t="s">
        <v>2707</v>
      </c>
      <c r="E26" t="s">
        <v>2708</v>
      </c>
      <c r="F26" t="s">
        <v>2687</v>
      </c>
      <c r="G26" t="s">
        <v>1608</v>
      </c>
    </row>
    <row r="27" spans="1:7" ht="11.25" customHeight="1">
      <c r="A27" t="s">
        <v>14</v>
      </c>
      <c r="B27" t="s">
        <v>120</v>
      </c>
      <c r="C27" t="s">
        <v>2706</v>
      </c>
      <c r="D27" t="s">
        <v>121</v>
      </c>
      <c r="E27" t="s">
        <v>122</v>
      </c>
      <c r="F27" t="s">
        <v>2680</v>
      </c>
      <c r="G27" t="s">
        <v>119</v>
      </c>
    </row>
    <row r="28" spans="1:7" ht="11.25" customHeight="1">
      <c r="A28" t="s">
        <v>14</v>
      </c>
      <c r="B28" t="s">
        <v>2709</v>
      </c>
      <c r="C28" t="s">
        <v>2710</v>
      </c>
      <c r="D28" t="s">
        <v>2709</v>
      </c>
      <c r="E28" t="s">
        <v>2710</v>
      </c>
      <c r="F28" t="s">
        <v>2688</v>
      </c>
      <c r="G28" t="s">
        <v>1620</v>
      </c>
    </row>
    <row r="29" spans="1:7" ht="11.25" customHeight="1">
      <c r="A29" t="s">
        <v>14</v>
      </c>
      <c r="B29" t="s">
        <v>2711</v>
      </c>
      <c r="C29" t="s">
        <v>2712</v>
      </c>
      <c r="D29" t="s">
        <v>2713</v>
      </c>
      <c r="E29" t="s">
        <v>2714</v>
      </c>
      <c r="F29" t="s">
        <v>2680</v>
      </c>
      <c r="G29" t="s">
        <v>1622</v>
      </c>
    </row>
    <row r="30" spans="1:7" ht="11.25" customHeight="1">
      <c r="A30" t="s">
        <v>14</v>
      </c>
      <c r="B30" t="s">
        <v>2711</v>
      </c>
      <c r="C30" t="s">
        <v>2712</v>
      </c>
      <c r="D30" t="s">
        <v>2715</v>
      </c>
      <c r="E30" t="s">
        <v>2716</v>
      </c>
      <c r="F30" t="s">
        <v>2687</v>
      </c>
      <c r="G30" t="s">
        <v>1625</v>
      </c>
    </row>
    <row r="31" spans="1:7" ht="11.25" customHeight="1">
      <c r="A31" t="s">
        <v>14</v>
      </c>
      <c r="B31" t="s">
        <v>2711</v>
      </c>
      <c r="C31" t="s">
        <v>2712</v>
      </c>
      <c r="D31" t="s">
        <v>2711</v>
      </c>
      <c r="E31" t="s">
        <v>2712</v>
      </c>
      <c r="F31" t="s">
        <v>2686</v>
      </c>
      <c r="G31" t="s">
        <v>1630</v>
      </c>
    </row>
    <row r="32" spans="1:7" ht="11.25" customHeight="1">
      <c r="A32" t="s">
        <v>14</v>
      </c>
      <c r="B32" t="s">
        <v>2717</v>
      </c>
      <c r="C32" t="s">
        <v>2718</v>
      </c>
      <c r="D32" t="s">
        <v>2717</v>
      </c>
      <c r="E32" t="s">
        <v>2718</v>
      </c>
      <c r="F32" t="s">
        <v>2688</v>
      </c>
      <c r="G32" t="s">
        <v>1632</v>
      </c>
    </row>
    <row r="33" spans="1:7" ht="11.25" customHeight="1">
      <c r="A33" t="s">
        <v>14</v>
      </c>
      <c r="B33" t="s">
        <v>2719</v>
      </c>
      <c r="C33" t="s">
        <v>2720</v>
      </c>
      <c r="D33" t="s">
        <v>2719</v>
      </c>
      <c r="E33" t="s">
        <v>2720</v>
      </c>
      <c r="F33" t="s">
        <v>2688</v>
      </c>
      <c r="G33" t="s">
        <v>1634</v>
      </c>
    </row>
    <row r="34" spans="1:7" ht="11.25" customHeight="1">
      <c r="A34" t="s">
        <v>14</v>
      </c>
      <c r="B34" t="s">
        <v>2721</v>
      </c>
      <c r="C34" t="s">
        <v>2722</v>
      </c>
      <c r="D34" t="s">
        <v>2721</v>
      </c>
      <c r="E34" t="s">
        <v>2722</v>
      </c>
      <c r="F34" t="s">
        <v>2688</v>
      </c>
      <c r="G34" t="s">
        <v>1636</v>
      </c>
    </row>
    <row r="35" spans="1:7" ht="11.25" customHeight="1">
      <c r="A35" t="s">
        <v>14</v>
      </c>
      <c r="B35" t="s">
        <v>125</v>
      </c>
      <c r="C35" t="s">
        <v>126</v>
      </c>
      <c r="D35" t="s">
        <v>125</v>
      </c>
      <c r="E35" t="s">
        <v>126</v>
      </c>
      <c r="F35" t="s">
        <v>2688</v>
      </c>
      <c r="G35" t="s">
        <v>124</v>
      </c>
    </row>
    <row r="36" spans="1:7" ht="11.25" customHeight="1">
      <c r="A36" t="s">
        <v>14</v>
      </c>
      <c r="B36" t="s">
        <v>2723</v>
      </c>
      <c r="C36" t="s">
        <v>2724</v>
      </c>
      <c r="D36" t="s">
        <v>2723</v>
      </c>
      <c r="E36" t="s">
        <v>2724</v>
      </c>
      <c r="F36" t="s">
        <v>2688</v>
      </c>
      <c r="G36" t="s">
        <v>1645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5938"/>
    <col min="2" max="2" width="84.28515625" style="15938" customWidth="1"/>
    <col min="3" max="3" width="9.140625" style="15938"/>
  </cols>
  <sheetData>
    <row r="1" spans="1:3" ht="11.25" customHeight="1">
      <c r="A1" s="733" t="s">
        <v>2750</v>
      </c>
      <c r="B1" s="733" t="s">
        <v>2751</v>
      </c>
      <c r="C1" s="733" t="s">
        <v>1219</v>
      </c>
    </row>
    <row r="2" spans="1:3" ht="11.25" customHeight="1">
      <c r="A2" s="733">
        <v>4189678</v>
      </c>
      <c r="B2" s="733" t="s">
        <v>2752</v>
      </c>
      <c r="C2" s="733" t="s">
        <v>2753</v>
      </c>
    </row>
    <row r="3" spans="1:3" ht="11.25" customHeight="1">
      <c r="A3" s="733">
        <v>4190415</v>
      </c>
      <c r="B3" s="733" t="s">
        <v>2754</v>
      </c>
      <c r="C3" s="733" t="s">
        <v>2753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5940" customWidth="1"/>
    <col min="2" max="5" width="9.140625" style="15940"/>
  </cols>
  <sheetData>
    <row r="1" spans="1:5" ht="15" customHeight="1">
      <c r="A1" s="86" t="s">
        <v>2755</v>
      </c>
      <c r="B1" s="86" t="s">
        <v>2756</v>
      </c>
      <c r="C1" s="86"/>
      <c r="D1" s="86"/>
      <c r="E1" s="86"/>
    </row>
    <row r="2" spans="1:5" ht="15" customHeight="1">
      <c r="A2" s="86"/>
      <c r="B2" s="86"/>
      <c r="C2" s="86"/>
      <c r="D2" s="86"/>
      <c r="E2" s="86"/>
    </row>
    <row r="3" spans="1:5" ht="15" customHeight="1">
      <c r="A3" s="86"/>
      <c r="B3" s="86"/>
      <c r="C3" s="86"/>
      <c r="D3" s="86"/>
      <c r="E3" s="86"/>
    </row>
    <row r="4" spans="1:5" ht="15" customHeight="1">
      <c r="A4" s="86"/>
      <c r="B4" s="86"/>
      <c r="C4" s="86"/>
      <c r="D4" s="86"/>
      <c r="E4" s="86"/>
    </row>
    <row r="5" spans="1:5" ht="15" customHeight="1">
      <c r="A5" s="86"/>
      <c r="B5" s="86"/>
      <c r="C5" s="86"/>
      <c r="D5" s="86"/>
      <c r="E5" s="86"/>
    </row>
    <row r="6" spans="1:5" ht="15" customHeight="1">
      <c r="A6" s="86"/>
      <c r="B6" s="86"/>
      <c r="C6" s="86"/>
      <c r="D6" s="86"/>
      <c r="E6" s="86"/>
    </row>
    <row r="7" spans="1:5" ht="15" customHeight="1">
      <c r="A7" s="86"/>
      <c r="B7" s="86"/>
      <c r="C7" s="86"/>
      <c r="D7" s="86"/>
      <c r="E7" s="86"/>
    </row>
    <row r="8" spans="1:5" ht="15" customHeight="1">
      <c r="A8" s="86"/>
      <c r="B8" s="86"/>
      <c r="C8" s="86"/>
      <c r="D8" s="86"/>
      <c r="E8" s="8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2757</v>
      </c>
      <c r="B1" t="b">
        <v>1</v>
      </c>
    </row>
    <row r="2" spans="1:2" ht="11.25" customHeight="1">
      <c r="A2" t="s">
        <v>2758</v>
      </c>
      <c r="B2" t="b">
        <v>0</v>
      </c>
    </row>
    <row r="3" spans="1:2" ht="11.25" customHeight="1">
      <c r="A3" t="s">
        <v>2759</v>
      </c>
      <c r="B3" t="b">
        <v>0</v>
      </c>
    </row>
    <row r="4" spans="1:2" ht="11.25" customHeight="1">
      <c r="A4" t="s">
        <v>2760</v>
      </c>
      <c r="B4" t="b">
        <v>0</v>
      </c>
    </row>
    <row r="5" spans="1:2" ht="11.25" customHeight="1">
      <c r="A5" t="s">
        <v>2761</v>
      </c>
      <c r="B5" t="b">
        <v>0</v>
      </c>
    </row>
    <row r="6" spans="1:2" ht="11.25" customHeight="1">
      <c r="A6" t="s">
        <v>2762</v>
      </c>
      <c r="B6" t="b">
        <v>1</v>
      </c>
    </row>
    <row r="7" spans="1:2" ht="11.25" customHeight="1">
      <c r="A7" t="s">
        <v>2763</v>
      </c>
      <c r="B7" t="b">
        <v>0</v>
      </c>
    </row>
    <row r="8" spans="1:2" ht="11.25" customHeight="1">
      <c r="A8" t="s">
        <v>2764</v>
      </c>
      <c r="B8" t="b">
        <v>0</v>
      </c>
    </row>
    <row r="9" spans="1:2" ht="11.25" customHeight="1">
      <c r="A9" t="s">
        <v>2765</v>
      </c>
      <c r="B9" t="b">
        <v>1</v>
      </c>
    </row>
    <row r="10" spans="1:2" ht="11.25" customHeight="1">
      <c r="A10" t="s">
        <v>2766</v>
      </c>
      <c r="B10" t="b">
        <v>0</v>
      </c>
    </row>
    <row r="11" spans="1:2" ht="11.25" customHeight="1">
      <c r="A11" t="s">
        <v>2767</v>
      </c>
      <c r="B11" t="b">
        <v>0</v>
      </c>
    </row>
    <row r="12" spans="1:2" ht="11.25" customHeight="1">
      <c r="A12" t="s">
        <v>2768</v>
      </c>
      <c r="B12" t="b">
        <v>0</v>
      </c>
    </row>
    <row r="13" spans="1:2" ht="11.25" customHeight="1">
      <c r="A13" t="s">
        <v>2769</v>
      </c>
      <c r="B13" t="b">
        <v>0</v>
      </c>
    </row>
    <row r="14" spans="1:2" ht="11.25" customHeight="1">
      <c r="A14" t="s">
        <v>2770</v>
      </c>
      <c r="B14" t="b">
        <v>0</v>
      </c>
    </row>
    <row r="15" spans="1:2" ht="11.25" customHeight="1">
      <c r="A15" t="s">
        <v>2771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5941"/>
  </cols>
  <sheetData>
    <row r="1" spans="1:1" ht="12.75" customHeight="1">
      <c r="A1" s="30"/>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5942" customWidth="1"/>
    <col min="2" max="2" width="21.140625" style="15942" customWidth="1"/>
  </cols>
  <sheetData>
    <row r="1" spans="1:2" ht="11.25" customHeight="1">
      <c r="A1" s="6" t="s">
        <v>2772</v>
      </c>
      <c r="B1" s="6" t="s">
        <v>2773</v>
      </c>
    </row>
    <row r="2" spans="1:2" ht="11.25" customHeight="1">
      <c r="A2" s="3" t="s">
        <v>2774</v>
      </c>
      <c r="B2" s="3" t="s">
        <v>2775</v>
      </c>
    </row>
    <row r="3" spans="1:2" ht="11.25" customHeight="1">
      <c r="A3" s="3" t="s">
        <v>2776</v>
      </c>
      <c r="B3" s="3" t="s">
        <v>2777</v>
      </c>
    </row>
    <row r="4" spans="1:2" ht="11.25" customHeight="1">
      <c r="A4" s="3" t="s">
        <v>2778</v>
      </c>
      <c r="B4" s="3" t="s">
        <v>2779</v>
      </c>
    </row>
    <row r="5" spans="1:2" ht="11.25" customHeight="1">
      <c r="A5" s="3" t="s">
        <v>2780</v>
      </c>
      <c r="B5" s="3" t="s">
        <v>2781</v>
      </c>
    </row>
    <row r="6" spans="1:2" ht="11.25" customHeight="1">
      <c r="A6" s="3" t="s">
        <v>2782</v>
      </c>
      <c r="B6" s="3" t="s">
        <v>2783</v>
      </c>
    </row>
    <row r="7" spans="1:2" ht="11.25" customHeight="1">
      <c r="A7" s="3" t="s">
        <v>2784</v>
      </c>
      <c r="B7" s="3" t="s">
        <v>2785</v>
      </c>
    </row>
    <row r="8" spans="1:2" ht="11.25" customHeight="1">
      <c r="A8" s="3" t="s">
        <v>2786</v>
      </c>
      <c r="B8" s="3" t="s">
        <v>2787</v>
      </c>
    </row>
    <row r="9" spans="1:2" ht="11.25" customHeight="1">
      <c r="A9" s="3" t="s">
        <v>2788</v>
      </c>
      <c r="B9" s="3" t="s">
        <v>2789</v>
      </c>
    </row>
    <row r="10" spans="1:2" ht="11.25" customHeight="1">
      <c r="A10" s="3" t="s">
        <v>2790</v>
      </c>
      <c r="B10" s="3" t="s">
        <v>2791</v>
      </c>
    </row>
    <row r="11" spans="1:2" ht="11.25" customHeight="1">
      <c r="A11" s="3" t="s">
        <v>2792</v>
      </c>
      <c r="B11" s="3" t="s">
        <v>2793</v>
      </c>
    </row>
    <row r="12" spans="1:2" ht="11.25" customHeight="1">
      <c r="A12" s="3" t="s">
        <v>2794</v>
      </c>
      <c r="B12" s="3" t="s">
        <v>2795</v>
      </c>
    </row>
    <row r="13" spans="1:2" ht="11.25" customHeight="1">
      <c r="A13" s="3" t="s">
        <v>2796</v>
      </c>
      <c r="B13" s="3" t="s">
        <v>2797</v>
      </c>
    </row>
    <row r="14" spans="1:2" ht="11.25" customHeight="1">
      <c r="A14" s="3" t="s">
        <v>2798</v>
      </c>
      <c r="B14" s="3" t="s">
        <v>2799</v>
      </c>
    </row>
    <row r="15" spans="1:2" ht="11.25" customHeight="1">
      <c r="A15" s="3" t="s">
        <v>2800</v>
      </c>
      <c r="B15" s="3" t="s">
        <v>2801</v>
      </c>
    </row>
    <row r="16" spans="1:2" ht="11.25" customHeight="1">
      <c r="A16" s="3" t="s">
        <v>2802</v>
      </c>
      <c r="B16" s="3" t="s">
        <v>2803</v>
      </c>
    </row>
    <row r="17" spans="1:2" ht="11.25" customHeight="1">
      <c r="A17" s="3" t="s">
        <v>2804</v>
      </c>
      <c r="B17" s="3" t="s">
        <v>2805</v>
      </c>
    </row>
    <row r="18" spans="1:2" ht="11.25" customHeight="1">
      <c r="A18" s="3" t="s">
        <v>2806</v>
      </c>
      <c r="B18" s="3" t="s">
        <v>2807</v>
      </c>
    </row>
    <row r="19" spans="1:2" ht="11.25" customHeight="1">
      <c r="A19" s="3" t="s">
        <v>2808</v>
      </c>
      <c r="B19" s="3" t="s">
        <v>2809</v>
      </c>
    </row>
    <row r="20" spans="1:2" ht="11.25" customHeight="1">
      <c r="A20" s="3" t="s">
        <v>2810</v>
      </c>
      <c r="B20" s="3" t="s">
        <v>2811</v>
      </c>
    </row>
    <row r="21" spans="1:2" ht="11.25" customHeight="1">
      <c r="A21" s="3" t="s">
        <v>2812</v>
      </c>
      <c r="B21" s="3" t="s">
        <v>2813</v>
      </c>
    </row>
    <row r="22" spans="1:2" ht="11.25" customHeight="1">
      <c r="A22" s="3" t="s">
        <v>2814</v>
      </c>
      <c r="B22" s="3" t="s">
        <v>2815</v>
      </c>
    </row>
    <row r="23" spans="1:2" ht="11.25" customHeight="1">
      <c r="A23" s="3" t="s">
        <v>2816</v>
      </c>
      <c r="B23" s="3" t="s">
        <v>2817</v>
      </c>
    </row>
    <row r="24" spans="1:2" ht="11.25" customHeight="1">
      <c r="A24" s="3" t="s">
        <v>2818</v>
      </c>
      <c r="B24" s="3" t="s">
        <v>2819</v>
      </c>
    </row>
    <row r="25" spans="1:2" ht="11.25" customHeight="1">
      <c r="A25" s="3" t="s">
        <v>2820</v>
      </c>
      <c r="B25" s="3" t="s">
        <v>2821</v>
      </c>
    </row>
    <row r="26" spans="1:2" ht="11.25" customHeight="1">
      <c r="A26" s="3" t="s">
        <v>2822</v>
      </c>
      <c r="B26" s="3" t="s">
        <v>2823</v>
      </c>
    </row>
    <row r="27" spans="1:2" ht="11.25" customHeight="1">
      <c r="A27" s="3" t="s">
        <v>2824</v>
      </c>
      <c r="B27" s="3" t="s">
        <v>2825</v>
      </c>
    </row>
    <row r="28" spans="1:2" ht="11.25" customHeight="1">
      <c r="A28" s="3" t="s">
        <v>2826</v>
      </c>
      <c r="B28" s="3" t="s">
        <v>2827</v>
      </c>
    </row>
    <row r="29" spans="1:2" ht="11.25" customHeight="1">
      <c r="A29" s="3" t="s">
        <v>2828</v>
      </c>
      <c r="B29" s="3" t="s">
        <v>2829</v>
      </c>
    </row>
    <row r="30" spans="1:2" ht="11.25" customHeight="1">
      <c r="A30" s="3" t="s">
        <v>2830</v>
      </c>
      <c r="B30" s="3" t="s">
        <v>2831</v>
      </c>
    </row>
    <row r="31" spans="1:2" ht="11.25" customHeight="1">
      <c r="A31" s="3" t="s">
        <v>2832</v>
      </c>
      <c r="B31" s="3" t="s">
        <v>2833</v>
      </c>
    </row>
    <row r="32" spans="1:2" ht="11.25" customHeight="1">
      <c r="A32" s="3" t="s">
        <v>2834</v>
      </c>
      <c r="B32" s="3" t="s">
        <v>2835</v>
      </c>
    </row>
    <row r="33" spans="1:2" ht="11.25" customHeight="1">
      <c r="A33" s="3" t="s">
        <v>2836</v>
      </c>
      <c r="B33" s="3" t="s">
        <v>2837</v>
      </c>
    </row>
    <row r="34" spans="1:2" ht="11.25" customHeight="1">
      <c r="A34" s="3" t="s">
        <v>2838</v>
      </c>
      <c r="B34" s="3" t="s">
        <v>2839</v>
      </c>
    </row>
    <row r="35" spans="1:2" ht="11.25" customHeight="1">
      <c r="A35" s="3" t="s">
        <v>2840</v>
      </c>
      <c r="B35" s="3" t="s">
        <v>2841</v>
      </c>
    </row>
    <row r="36" spans="1:2" ht="11.25" customHeight="1">
      <c r="A36" s="3" t="s">
        <v>2842</v>
      </c>
      <c r="B36" s="3" t="s">
        <v>2843</v>
      </c>
    </row>
    <row r="37" spans="1:2" ht="11.25" customHeight="1">
      <c r="A37" s="3" t="s">
        <v>2844</v>
      </c>
      <c r="B37" s="3" t="s">
        <v>2845</v>
      </c>
    </row>
    <row r="38" spans="1:2" ht="11.25" customHeight="1">
      <c r="A38" s="3" t="s">
        <v>2846</v>
      </c>
      <c r="B38" s="3" t="s">
        <v>2847</v>
      </c>
    </row>
    <row r="39" spans="1:2" ht="11.25" customHeight="1">
      <c r="A39" s="3" t="s">
        <v>2848</v>
      </c>
      <c r="B39" s="3" t="s">
        <v>2849</v>
      </c>
    </row>
    <row r="40" spans="1:2" ht="11.25" customHeight="1">
      <c r="A40" s="3" t="s">
        <v>2850</v>
      </c>
      <c r="B40" s="3" t="s">
        <v>2851</v>
      </c>
    </row>
    <row r="41" spans="1:2" ht="11.25" customHeight="1">
      <c r="A41" s="3" t="s">
        <v>2852</v>
      </c>
      <c r="B41" s="3" t="s">
        <v>2853</v>
      </c>
    </row>
    <row r="42" spans="1:2" ht="11.25" customHeight="1">
      <c r="A42" s="3" t="s">
        <v>2854</v>
      </c>
      <c r="B42" s="3" t="s">
        <v>2855</v>
      </c>
    </row>
    <row r="43" spans="1:2" ht="11.25" customHeight="1">
      <c r="A43" s="3" t="s">
        <v>2856</v>
      </c>
      <c r="B43" s="3" t="s">
        <v>2857</v>
      </c>
    </row>
    <row r="44" spans="1:2" ht="11.25" customHeight="1">
      <c r="A44" s="3" t="s">
        <v>2858</v>
      </c>
      <c r="B44" s="3" t="s">
        <v>2859</v>
      </c>
    </row>
    <row r="45" spans="1:2" ht="11.25" customHeight="1">
      <c r="A45" s="3" t="s">
        <v>2860</v>
      </c>
      <c r="B45" s="3" t="s">
        <v>2861</v>
      </c>
    </row>
    <row r="46" spans="1:2" ht="11.25" customHeight="1">
      <c r="A46" s="3" t="s">
        <v>2862</v>
      </c>
      <c r="B46" s="3" t="s">
        <v>2863</v>
      </c>
    </row>
    <row r="47" spans="1:2" ht="11.25" customHeight="1">
      <c r="A47" s="3" t="s">
        <v>2864</v>
      </c>
      <c r="B47" s="3" t="s">
        <v>2865</v>
      </c>
    </row>
    <row r="48" spans="1:2" ht="11.25" customHeight="1">
      <c r="A48" s="3" t="s">
        <v>2866</v>
      </c>
      <c r="B48" s="3" t="s">
        <v>2867</v>
      </c>
    </row>
    <row r="49" spans="1:2" ht="11.25" customHeight="1">
      <c r="A49" s="3" t="s">
        <v>2868</v>
      </c>
      <c r="B49" s="3" t="s">
        <v>2869</v>
      </c>
    </row>
    <row r="50" spans="1:2" ht="11.25" customHeight="1">
      <c r="A50" s="3" t="s">
        <v>2870</v>
      </c>
      <c r="B50" s="3" t="s">
        <v>2871</v>
      </c>
    </row>
    <row r="51" spans="1:2" ht="11.25" customHeight="1">
      <c r="A51" s="3" t="s">
        <v>2872</v>
      </c>
      <c r="B51" s="3" t="s">
        <v>2873</v>
      </c>
    </row>
    <row r="52" spans="1:2" ht="11.25" customHeight="1">
      <c r="A52" s="3" t="s">
        <v>2874</v>
      </c>
      <c r="B52" s="3" t="s">
        <v>2875</v>
      </c>
    </row>
    <row r="53" spans="1:2" ht="11.25" customHeight="1">
      <c r="A53" s="3" t="s">
        <v>2876</v>
      </c>
      <c r="B53" s="3" t="s">
        <v>2877</v>
      </c>
    </row>
    <row r="54" spans="1:2" ht="11.25" customHeight="1">
      <c r="A54" s="3" t="s">
        <v>2878</v>
      </c>
      <c r="B54" s="3" t="s">
        <v>2879</v>
      </c>
    </row>
    <row r="55" spans="1:2" ht="11.25" customHeight="1">
      <c r="A55" s="3" t="s">
        <v>2880</v>
      </c>
      <c r="B55" s="3" t="s">
        <v>2881</v>
      </c>
    </row>
    <row r="56" spans="1:2" ht="11.25" customHeight="1">
      <c r="A56" s="3" t="s">
        <v>2882</v>
      </c>
      <c r="B56" s="3" t="s">
        <v>2883</v>
      </c>
    </row>
    <row r="57" spans="1:2" ht="11.25" customHeight="1">
      <c r="A57" s="3" t="s">
        <v>2884</v>
      </c>
      <c r="B57" s="3" t="s">
        <v>2885</v>
      </c>
    </row>
    <row r="58" spans="1:2" ht="11.25" customHeight="1">
      <c r="A58" s="3" t="s">
        <v>2886</v>
      </c>
      <c r="B58" s="3" t="s">
        <v>2887</v>
      </c>
    </row>
    <row r="59" spans="1:2" ht="11.25" customHeight="1">
      <c r="A59" s="3" t="s">
        <v>2888</v>
      </c>
      <c r="B59" s="3" t="s">
        <v>2889</v>
      </c>
    </row>
    <row r="60" spans="1:2" ht="11.25" customHeight="1">
      <c r="A60" s="3" t="s">
        <v>2890</v>
      </c>
      <c r="B60" s="3" t="s">
        <v>2891</v>
      </c>
    </row>
    <row r="61" spans="1:2" ht="11.25" customHeight="1">
      <c r="A61" s="3"/>
      <c r="B61" s="3" t="s">
        <v>2892</v>
      </c>
    </row>
    <row r="62" spans="1:2" ht="11.25" customHeight="1">
      <c r="A62" s="3"/>
      <c r="B62" s="3" t="s">
        <v>2893</v>
      </c>
    </row>
    <row r="63" spans="1:2" ht="11.25" customHeight="1">
      <c r="A63" s="3"/>
      <c r="B63" s="3" t="s">
        <v>2894</v>
      </c>
    </row>
    <row r="64" spans="1:2" ht="11.25" customHeight="1">
      <c r="A64" s="3"/>
      <c r="B64" s="3" t="s">
        <v>2895</v>
      </c>
    </row>
    <row r="65" spans="1:2" ht="11.25" customHeight="1">
      <c r="A65" s="3"/>
      <c r="B65" s="3" t="s">
        <v>2896</v>
      </c>
    </row>
    <row r="66" spans="1:2" ht="11.25" customHeight="1">
      <c r="A66" s="3"/>
      <c r="B66" s="3" t="s">
        <v>2897</v>
      </c>
    </row>
    <row r="67" spans="1:2" ht="11.25" customHeight="1">
      <c r="A67" s="3"/>
      <c r="B67" s="3" t="s">
        <v>2898</v>
      </c>
    </row>
    <row r="68" spans="1:2" ht="11.25" customHeight="1">
      <c r="A68" s="3"/>
      <c r="B68" s="3" t="s">
        <v>2899</v>
      </c>
    </row>
    <row r="69" spans="1:2" ht="11.25" customHeight="1">
      <c r="A69" s="3"/>
      <c r="B69" s="3" t="s">
        <v>2900</v>
      </c>
    </row>
    <row r="70" spans="1:2" ht="11.25" customHeight="1">
      <c r="A70" s="3"/>
      <c r="B70" s="3" t="s">
        <v>2901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5943" customWidth="1"/>
    <col min="2" max="2" width="90.7109375" style="15943" customWidth="1"/>
    <col min="3" max="4" width="9.140625" style="15943"/>
  </cols>
  <sheetData>
    <row r="1" spans="2:4" ht="11.25" customHeight="1">
      <c r="B1" s="28" t="s">
        <v>2902</v>
      </c>
    </row>
    <row r="2" spans="2:4" ht="90" customHeight="1">
      <c r="B2" s="29" t="s">
        <v>2903</v>
      </c>
    </row>
    <row r="3" spans="2:4" ht="67.5" customHeight="1">
      <c r="B3" s="29" t="s">
        <v>2904</v>
      </c>
    </row>
    <row r="4" spans="2:4" ht="33.75" customHeight="1">
      <c r="B4" s="29" t="s">
        <v>2905</v>
      </c>
    </row>
    <row r="5" spans="2:4" ht="11.25" customHeight="1">
      <c r="B5" s="29" t="s">
        <v>2906</v>
      </c>
    </row>
    <row r="6" spans="2:4" ht="22.5" customHeight="1">
      <c r="B6" s="29" t="s">
        <v>2907</v>
      </c>
    </row>
    <row r="7" spans="2:4" ht="22.5" customHeight="1">
      <c r="B7" s="29" t="s">
        <v>2908</v>
      </c>
    </row>
    <row r="8" spans="2:4" ht="22.5" customHeight="1">
      <c r="B8" s="29" t="s">
        <v>2909</v>
      </c>
    </row>
    <row r="9" spans="2:4" ht="22.5" customHeight="1">
      <c r="B9" s="29" t="s">
        <v>2910</v>
      </c>
    </row>
    <row r="10" spans="2:4" ht="56.25" customHeight="1">
      <c r="B10" s="29" t="s">
        <v>2911</v>
      </c>
    </row>
    <row r="11" spans="2:4" ht="12.75" customHeight="1">
      <c r="B11" s="83" t="s">
        <v>2912</v>
      </c>
    </row>
    <row r="12" spans="2:4" ht="11.25" customHeight="1">
      <c r="B12" s="28" t="s">
        <v>2913</v>
      </c>
    </row>
    <row r="13" spans="2:4" ht="22.5" customHeight="1">
      <c r="B13" s="29" t="s">
        <v>2914</v>
      </c>
    </row>
    <row r="14" spans="2:4" ht="67.5" customHeight="1">
      <c r="B14" s="29" t="s">
        <v>2915</v>
      </c>
    </row>
    <row r="15" spans="2:4" ht="22.5" customHeight="1">
      <c r="B15" s="29" t="s">
        <v>2916</v>
      </c>
    </row>
    <row r="16" spans="2:4" ht="11.25" customHeight="1">
      <c r="B16" s="28" t="s">
        <v>2917</v>
      </c>
      <c r="D16" s="35"/>
    </row>
    <row r="17" spans="1:2" ht="33.75" customHeight="1">
      <c r="B17" s="29" t="s">
        <v>2918</v>
      </c>
    </row>
    <row r="18" spans="1:2" ht="33.75" customHeight="1">
      <c r="B18" s="29" t="s">
        <v>2919</v>
      </c>
    </row>
    <row r="19" spans="1:2" ht="11.25" customHeight="1">
      <c r="B19" s="29" t="s">
        <v>2920</v>
      </c>
    </row>
    <row r="20" spans="1:2" ht="33.75" customHeight="1">
      <c r="B20" s="29" t="s">
        <v>2921</v>
      </c>
    </row>
    <row r="21" spans="1:2" ht="11.25" customHeight="1">
      <c r="B21" s="28" t="s">
        <v>2922</v>
      </c>
    </row>
    <row r="22" spans="1:2" ht="11.25" customHeight="1">
      <c r="B22" s="29" t="s">
        <v>2923</v>
      </c>
    </row>
    <row r="24" spans="1:2" ht="22.5" customHeight="1">
      <c r="B24" s="85" t="s">
        <v>2924</v>
      </c>
    </row>
    <row r="26" spans="1:2" ht="11.25" customHeight="1">
      <c r="B26" s="28" t="s">
        <v>2925</v>
      </c>
    </row>
    <row r="27" spans="1:2" ht="22.5" customHeight="1">
      <c r="B27" s="84" t="s">
        <v>533</v>
      </c>
    </row>
    <row r="28" spans="1:2" ht="56.25" customHeight="1">
      <c r="B28" s="84" t="s">
        <v>2926</v>
      </c>
    </row>
    <row r="29" spans="1:2" ht="11.25" customHeight="1">
      <c r="B29" s="132" t="s">
        <v>2927</v>
      </c>
    </row>
    <row r="30" spans="1:2" ht="22.5" customHeight="1">
      <c r="B30" s="84" t="s">
        <v>2928</v>
      </c>
    </row>
    <row r="32" spans="1:2" ht="11.25" customHeight="1">
      <c r="A32" s="110"/>
      <c r="B32" s="111" t="s">
        <v>2929</v>
      </c>
    </row>
    <row r="33" spans="1:2" ht="14.25" customHeight="1">
      <c r="A33" s="112">
        <v>1</v>
      </c>
      <c r="B33" s="113" t="s">
        <v>2930</v>
      </c>
    </row>
    <row r="34" spans="1:2" ht="14.25" customHeight="1">
      <c r="A34" s="112">
        <v>2</v>
      </c>
      <c r="B34" s="113" t="s">
        <v>2931</v>
      </c>
    </row>
    <row r="35" spans="1:2" ht="11.25" customHeight="1">
      <c r="B35" s="111" t="s">
        <v>2932</v>
      </c>
    </row>
    <row r="36" spans="1:2" ht="11.25" customHeight="1">
      <c r="B36" s="113" t="s">
        <v>2933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2124</vt:i4>
      </vt:variant>
    </vt:vector>
  </HeadingPairs>
  <TitlesOfParts>
    <vt:vector size="221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pt_cs_32</vt:lpstr>
      <vt:lpstr>pt_cs_33</vt:lpstr>
      <vt:lpstr>pt_cs_34</vt:lpstr>
      <vt:lpstr>pt_cs_35</vt:lpstr>
      <vt:lpstr>pt_cs_36</vt:lpstr>
      <vt:lpstr>pt_cs_37</vt:lpstr>
      <vt:lpstr>pt_cs_38</vt:lpstr>
      <vt:lpstr>pt_cs_39</vt:lpstr>
      <vt:lpstr>pt_cs_4</vt:lpstr>
      <vt:lpstr>pt_cs_40</vt:lpstr>
      <vt:lpstr>pt_cs_41</vt:lpstr>
      <vt:lpstr>pt_cs_42</vt:lpstr>
      <vt:lpstr>pt_cs_43</vt:lpstr>
      <vt:lpstr>pt_cs_44</vt:lpstr>
      <vt:lpstr>pt_cs_45</vt:lpstr>
      <vt:lpstr>pt_cs_46</vt:lpstr>
      <vt:lpstr>pt_cs_47</vt:lpstr>
      <vt:lpstr>pt_cs_48</vt:lpstr>
      <vt:lpstr>pt_cs_49</vt:lpstr>
      <vt:lpstr>pt_cs_5</vt:lpstr>
      <vt:lpstr>pt_cs_50</vt:lpstr>
      <vt:lpstr>pt_cs_51</vt:lpstr>
      <vt:lpstr>pt_cs_52</vt:lpstr>
      <vt:lpstr>pt_cs_53</vt:lpstr>
      <vt:lpstr>pt_cs_54</vt:lpstr>
      <vt:lpstr>pt_cs_55</vt:lpstr>
      <vt:lpstr>pt_cs_56</vt:lpstr>
      <vt:lpstr>pt_cs_57</vt:lpstr>
      <vt:lpstr>pt_cs_58</vt:lpstr>
      <vt:lpstr>pt_cs_59</vt:lpstr>
      <vt:lpstr>pt_cs_6</vt:lpstr>
      <vt:lpstr>pt_cs_60</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pt_ntar_26</vt:lpstr>
      <vt:lpstr>pt_ntar_27</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pt_ter_33</vt:lpstr>
      <vt:lpstr>pt_ter_34</vt:lpstr>
      <vt:lpstr>pt_ter_35</vt:lpstr>
      <vt:lpstr>pt_ter_36</vt:lpstr>
      <vt:lpstr>pt_ter_37</vt:lpstr>
      <vt:lpstr>pt_ter_38</vt:lpstr>
      <vt:lpstr>pt_ter_39</vt:lpstr>
      <vt:lpstr>pt_ter_4</vt:lpstr>
      <vt:lpstr>pt_ter_40</vt:lpstr>
      <vt:lpstr>pt_ter_41</vt:lpstr>
      <vt:lpstr>pt_ter_42</vt:lpstr>
      <vt:lpstr>pt_ter_43</vt:lpstr>
      <vt:lpstr>pt_ter_44</vt:lpstr>
      <vt:lpstr>pt_ter_45</vt:lpstr>
      <vt:lpstr>pt_ter_46</vt:lpstr>
      <vt:lpstr>pt_ter_47</vt:lpstr>
      <vt:lpstr>pt_ter_48</vt:lpstr>
      <vt:lpstr>pt_ter_49</vt:lpstr>
      <vt:lpstr>pt_ter_5</vt:lpstr>
      <vt:lpstr>pt_ter_50</vt:lpstr>
      <vt:lpstr>pt_ter_51</vt:lpstr>
      <vt:lpstr>pt_ter_52</vt:lpstr>
      <vt:lpstr>pt_ter_53</vt:lpstr>
      <vt:lpstr>pt_ter_54</vt:lpstr>
      <vt:lpstr>pt_ter_55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Луханина Ольга Викторовна</cp:lastModifiedBy>
  <cp:lastPrinted>2013-08-29T08:11:20Z</cp:lastPrinted>
  <dcterms:created xsi:type="dcterms:W3CDTF">2004-05-21T07:18:45Z</dcterms:created>
  <dcterms:modified xsi:type="dcterms:W3CDTF">2024-04-03T07:52:49Z</dcterms:modified>
</cp:coreProperties>
</file>