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5" windowWidth="14010" windowHeight="12825" tabRatio="714" firstSheet="17" activeTab="26"/>
  </bookViews>
  <sheets>
    <sheet name="г.Мурманск" sheetId="1" r:id="rId1"/>
    <sheet name="г.п.Кола" sheetId="2" r:id="rId2"/>
    <sheet name="г.п.Молочный" sheetId="3" r:id="rId3"/>
    <sheet name="г.п.Мурмаши" sheetId="4" r:id="rId4"/>
    <sheet name="г.п.Верхнетуломский" sheetId="5" r:id="rId5"/>
    <sheet name="г.п.Кильдинстрой-Шонгуй" sheetId="6" r:id="rId6"/>
    <sheet name="с.п.Ловозеро" sheetId="7" r:id="rId7"/>
    <sheet name="г.п.Ревда" sheetId="8" r:id="rId8"/>
    <sheet name="н.п.Высокий" sheetId="9" r:id="rId9"/>
    <sheet name="г.Гаджиево" sheetId="10" r:id="rId10"/>
    <sheet name="ЗАТО г.Североморск" sheetId="11" r:id="rId11"/>
    <sheet name="г.п.Никель" sheetId="12" r:id="rId12"/>
    <sheet name="г.Полярный" sheetId="13" r:id="rId13"/>
    <sheet name="г.Снежногорск" sheetId="14" r:id="rId14"/>
    <sheet name="с.п.Териберка" sheetId="15" r:id="rId15"/>
    <sheet name="г.Кандалакша" sheetId="16" r:id="rId16"/>
    <sheet name="с.п.Умба" sheetId="17" r:id="rId17"/>
    <sheet name="с.п.Зеленоборский" sheetId="18" r:id="rId18"/>
    <sheet name="с.п.Ёнский" sheetId="21" r:id="rId19"/>
    <sheet name="Росляково" sheetId="26" r:id="rId20"/>
    <sheet name="с.п.Белое море" sheetId="20" r:id="rId21"/>
    <sheet name="Нива-3" sheetId="19" r:id="rId22"/>
    <sheet name="Лопарская" sheetId="22" r:id="rId23"/>
    <sheet name="Ура-Губа" sheetId="27" r:id="rId24"/>
    <sheet name="пр-во тепловой энергии" sheetId="23" r:id="rId25"/>
    <sheet name="передача тепловой энергии" sheetId="24" r:id="rId26"/>
    <sheet name="ИТОГО регулируемые виды деятель" sheetId="25" r:id="rId27"/>
  </sheets>
  <calcPr calcId="144525"/>
</workbook>
</file>

<file path=xl/calcChain.xml><?xml version="1.0" encoding="utf-8"?>
<calcChain xmlns="http://schemas.openxmlformats.org/spreadsheetml/2006/main">
  <c r="D54" i="25" l="1"/>
  <c r="D53" i="25"/>
  <c r="D54" i="23"/>
  <c r="D53" i="23"/>
  <c r="D53" i="27"/>
  <c r="D54" i="27"/>
  <c r="D53" i="19"/>
  <c r="D54" i="19"/>
  <c r="D53" i="16"/>
  <c r="D54" i="16"/>
  <c r="D53" i="15"/>
  <c r="D54" i="15"/>
  <c r="D53" i="12"/>
  <c r="D54" i="12"/>
  <c r="D53" i="10"/>
  <c r="D54" i="10"/>
  <c r="D53" i="9"/>
  <c r="D54" i="9"/>
  <c r="D53" i="3"/>
  <c r="D54" i="3"/>
  <c r="D53" i="1"/>
  <c r="D54" i="1"/>
  <c r="D64" i="25" l="1"/>
  <c r="D63" i="25"/>
  <c r="D60" i="25"/>
  <c r="D59" i="25"/>
  <c r="D58" i="25"/>
  <c r="D63" i="23"/>
  <c r="D64" i="23"/>
  <c r="D61" i="23"/>
  <c r="D60" i="23"/>
  <c r="D59" i="23"/>
  <c r="D58" i="23"/>
  <c r="D62" i="6" l="1"/>
  <c r="D65" i="6"/>
  <c r="D47" i="5" l="1"/>
  <c r="D47" i="24"/>
  <c r="D47" i="26"/>
  <c r="D47" i="21"/>
  <c r="D47" i="16"/>
  <c r="D47" i="15"/>
  <c r="D47" i="14"/>
  <c r="D47" i="13"/>
  <c r="D47" i="11"/>
  <c r="D47" i="10"/>
  <c r="D47" i="9"/>
  <c r="D47" i="7"/>
  <c r="D47" i="6"/>
  <c r="D47" i="4"/>
  <c r="D47" i="3"/>
  <c r="D47" i="2"/>
  <c r="D47" i="1"/>
  <c r="D62" i="24"/>
  <c r="D62" i="15"/>
  <c r="D62" i="19"/>
  <c r="D62" i="23"/>
  <c r="D62" i="25" s="1"/>
  <c r="D62" i="27"/>
  <c r="D62" i="22"/>
  <c r="D62" i="20"/>
  <c r="D62" i="26"/>
  <c r="D62" i="21"/>
  <c r="D62" i="18"/>
  <c r="D62" i="17"/>
  <c r="D62" i="16"/>
  <c r="D62" i="14"/>
  <c r="D62" i="13"/>
  <c r="D62" i="12"/>
  <c r="D62" i="11"/>
  <c r="D62" i="1"/>
  <c r="D46" i="16" l="1"/>
  <c r="D45" i="24" l="1"/>
  <c r="D45" i="27"/>
  <c r="D45" i="22"/>
  <c r="D45" i="19"/>
  <c r="D45" i="20"/>
  <c r="D45" i="26"/>
  <c r="D45" i="21"/>
  <c r="D45" i="18"/>
  <c r="D45" i="17"/>
  <c r="D45" i="16"/>
  <c r="D45" i="15"/>
  <c r="D45" i="14"/>
  <c r="D45" i="13"/>
  <c r="D45" i="12"/>
  <c r="D45" i="11"/>
  <c r="D45" i="10"/>
  <c r="D45" i="9"/>
  <c r="D45" i="8"/>
  <c r="D45" i="7"/>
  <c r="D45" i="6"/>
  <c r="D45" i="5"/>
  <c r="D45" i="4"/>
  <c r="D45" i="3"/>
  <c r="D45" i="2"/>
  <c r="D45" i="1"/>
  <c r="D51" i="24"/>
  <c r="D39" i="6" l="1"/>
  <c r="D39" i="23"/>
  <c r="D39" i="19"/>
  <c r="D39" i="16"/>
  <c r="D39" i="11"/>
  <c r="D39" i="10"/>
  <c r="D39" i="9"/>
  <c r="D39" i="8"/>
  <c r="D39" i="7"/>
  <c r="D39" i="5"/>
  <c r="D39" i="4"/>
  <c r="D39" i="3"/>
  <c r="D39" i="2"/>
  <c r="D39" i="1"/>
  <c r="D27" i="23"/>
  <c r="D8" i="23" l="1"/>
  <c r="D37" i="27"/>
  <c r="D37" i="22"/>
  <c r="D37" i="21"/>
  <c r="D37" i="15"/>
  <c r="D37" i="26"/>
  <c r="D37" i="19"/>
  <c r="D37" i="20"/>
  <c r="D37" i="12"/>
  <c r="D37" i="13"/>
  <c r="D37" i="14"/>
  <c r="D37" i="11"/>
  <c r="D37" i="17"/>
  <c r="D37" i="18"/>
  <c r="D37" i="16"/>
  <c r="D37" i="24"/>
  <c r="D37" i="10"/>
  <c r="D37" i="9"/>
  <c r="D38" i="8" l="1"/>
  <c r="D37" i="8" s="1"/>
  <c r="D37" i="7" l="1"/>
  <c r="D38" i="7"/>
  <c r="D37" i="6"/>
  <c r="D38" i="6"/>
  <c r="D37" i="5"/>
  <c r="D38" i="4"/>
  <c r="D37" i="4" s="1"/>
  <c r="D38" i="3"/>
  <c r="D37" i="3"/>
  <c r="D37" i="2"/>
  <c r="D38" i="2"/>
  <c r="D37" i="1" l="1"/>
  <c r="D65" i="24"/>
  <c r="D65" i="27"/>
  <c r="D65" i="22"/>
  <c r="D65" i="19"/>
  <c r="D65" i="20"/>
  <c r="D65" i="21"/>
  <c r="D65" i="1"/>
  <c r="D65" i="18"/>
  <c r="D65" i="17"/>
  <c r="D65" i="16"/>
  <c r="D65" i="14"/>
  <c r="D65" i="15"/>
  <c r="D65" i="13"/>
  <c r="D65" i="12"/>
  <c r="D65" i="10"/>
  <c r="D65" i="9"/>
  <c r="D65" i="8"/>
  <c r="D65" i="7"/>
  <c r="D65" i="23"/>
  <c r="D65" i="25" s="1"/>
  <c r="F9" i="24" l="1"/>
  <c r="F9" i="19"/>
  <c r="F9" i="16"/>
  <c r="F9" i="15"/>
  <c r="F9" i="14"/>
  <c r="F9" i="13"/>
  <c r="F9" i="11"/>
  <c r="F9" i="6"/>
  <c r="D11" i="25"/>
  <c r="D51" i="2"/>
  <c r="D9" i="2" s="1"/>
  <c r="D51" i="1"/>
  <c r="D9" i="1" l="1"/>
  <c r="D56" i="1" l="1"/>
  <c r="D50" i="24" l="1"/>
  <c r="D50" i="14"/>
  <c r="D50" i="6"/>
  <c r="D50" i="1"/>
  <c r="D48" i="18" l="1"/>
  <c r="D48" i="17"/>
  <c r="D48" i="8"/>
  <c r="D48" i="5"/>
  <c r="D47" i="22"/>
  <c r="D47" i="19"/>
  <c r="D47" i="18"/>
  <c r="D47" i="17"/>
  <c r="D47" i="12"/>
  <c r="D47" i="8"/>
  <c r="D46" i="24"/>
  <c r="D46" i="15"/>
  <c r="D46" i="14"/>
  <c r="D46" i="6"/>
  <c r="D44" i="18" l="1"/>
  <c r="D44" i="3"/>
  <c r="D44" i="17"/>
  <c r="D44" i="16"/>
  <c r="D44" i="10"/>
  <c r="D44" i="9"/>
  <c r="D44" i="8"/>
  <c r="D44" i="7"/>
  <c r="D44" i="6"/>
  <c r="D44" i="5"/>
  <c r="D44" i="4"/>
  <c r="D44" i="2"/>
  <c r="D46" i="1"/>
  <c r="D44" i="24"/>
  <c r="D44" i="15"/>
  <c r="D44" i="14"/>
  <c r="D44" i="13"/>
  <c r="D44" i="12"/>
  <c r="D44" i="11"/>
  <c r="D44" i="1"/>
  <c r="D43" i="24"/>
  <c r="D43" i="22"/>
  <c r="D43" i="27"/>
  <c r="D43" i="19"/>
  <c r="D43" i="18"/>
  <c r="D43" i="16"/>
  <c r="D43" i="15"/>
  <c r="D43" i="12"/>
  <c r="D43" i="10"/>
  <c r="D43" i="1"/>
  <c r="D43" i="23" s="1"/>
  <c r="D43" i="21"/>
  <c r="D43" i="8"/>
  <c r="D43" i="7"/>
  <c r="D43" i="3"/>
  <c r="D41" i="24" l="1"/>
  <c r="D41" i="27"/>
  <c r="D41" i="22"/>
  <c r="D41" i="19"/>
  <c r="D41" i="20"/>
  <c r="D41" i="1"/>
  <c r="D41" i="21"/>
  <c r="D41" i="18"/>
  <c r="D41" i="17"/>
  <c r="D41" i="16"/>
  <c r="D41" i="15"/>
  <c r="D41" i="14"/>
  <c r="D41" i="13"/>
  <c r="D41" i="12"/>
  <c r="D41" i="10"/>
  <c r="D41" i="9"/>
  <c r="D41" i="8"/>
  <c r="D41" i="7"/>
  <c r="D41" i="6"/>
  <c r="D41" i="5"/>
  <c r="D41" i="4"/>
  <c r="D41" i="3"/>
  <c r="D41" i="2"/>
  <c r="D40" i="17" l="1"/>
  <c r="D40" i="19"/>
  <c r="D40" i="20"/>
  <c r="D40" i="21"/>
  <c r="D40" i="18"/>
  <c r="D40" i="16"/>
  <c r="D40" i="9"/>
  <c r="D40" i="8"/>
  <c r="D40" i="7"/>
  <c r="D40" i="6"/>
  <c r="D40" i="2"/>
  <c r="D39" i="27"/>
  <c r="D39" i="22"/>
  <c r="D39" i="20"/>
  <c r="D39" i="26"/>
  <c r="D39" i="21"/>
  <c r="D39" i="18"/>
  <c r="D39" i="17"/>
  <c r="D39" i="15"/>
  <c r="D39" i="14"/>
  <c r="D39" i="13"/>
  <c r="D39" i="12"/>
  <c r="D36" i="24"/>
  <c r="D50" i="23"/>
  <c r="D50" i="25" s="1"/>
  <c r="D47" i="23"/>
  <c r="D47" i="25" s="1"/>
  <c r="D46" i="23"/>
  <c r="D46" i="25" s="1"/>
  <c r="D45" i="23"/>
  <c r="D45" i="25" s="1"/>
  <c r="D44" i="23"/>
  <c r="D44" i="25" s="1"/>
  <c r="D43" i="25"/>
  <c r="D42" i="23"/>
  <c r="D42" i="25" s="1"/>
  <c r="D41" i="23"/>
  <c r="D41" i="25" s="1"/>
  <c r="D40" i="23"/>
  <c r="D40" i="25" s="1"/>
  <c r="D39" i="25"/>
  <c r="D38" i="23"/>
  <c r="D22" i="23"/>
  <c r="D28" i="23"/>
  <c r="D34" i="23"/>
  <c r="D36" i="27"/>
  <c r="D36" i="22"/>
  <c r="D36" i="19"/>
  <c r="D36" i="20"/>
  <c r="D36" i="26"/>
  <c r="D36" i="15"/>
  <c r="D36" i="18"/>
  <c r="D36" i="17"/>
  <c r="D36" i="16"/>
  <c r="D36" i="14"/>
  <c r="D36" i="13"/>
  <c r="D36" i="12"/>
  <c r="D36" i="11"/>
  <c r="D36" i="10"/>
  <c r="D36" i="9"/>
  <c r="D36" i="8"/>
  <c r="D36" i="7"/>
  <c r="D36" i="6"/>
  <c r="D36" i="5"/>
  <c r="D36" i="4"/>
  <c r="D36" i="3"/>
  <c r="D36" i="2"/>
  <c r="D36" i="1"/>
  <c r="D36" i="23" s="1"/>
  <c r="D36" i="25" s="1"/>
  <c r="D16" i="23"/>
  <c r="D16" i="27"/>
  <c r="D16" i="19"/>
  <c r="D16" i="20"/>
  <c r="D16" i="21"/>
  <c r="D16" i="18"/>
  <c r="D16" i="17"/>
  <c r="D16" i="16"/>
  <c r="D16" i="15"/>
  <c r="D16" i="14"/>
  <c r="D16" i="13"/>
  <c r="D16" i="11"/>
  <c r="D16" i="10"/>
  <c r="D16" i="9"/>
  <c r="D16" i="6"/>
  <c r="D16" i="5"/>
  <c r="D37" i="23" l="1"/>
  <c r="D38" i="25"/>
  <c r="D37" i="25" s="1"/>
  <c r="D21" i="15"/>
  <c r="D20" i="15"/>
  <c r="D19" i="15"/>
  <c r="D33" i="11"/>
  <c r="D32" i="11"/>
  <c r="D31" i="11"/>
  <c r="D21" i="22"/>
  <c r="D20" i="22"/>
  <c r="D19" i="22"/>
  <c r="D21" i="26"/>
  <c r="D20" i="26"/>
  <c r="D19" i="26"/>
  <c r="D21" i="11"/>
  <c r="D20" i="11"/>
  <c r="D19" i="11"/>
  <c r="D27" i="11"/>
  <c r="D26" i="11"/>
  <c r="D25" i="11"/>
  <c r="D27" i="18"/>
  <c r="D26" i="18"/>
  <c r="D25" i="18"/>
  <c r="D26" i="1"/>
  <c r="D25" i="1"/>
  <c r="D27" i="1" s="1"/>
  <c r="D34" i="25"/>
  <c r="D28" i="25"/>
  <c r="D22" i="25"/>
  <c r="D16" i="25"/>
  <c r="D14" i="12"/>
  <c r="D32" i="23"/>
  <c r="D32" i="25" s="1"/>
  <c r="D31" i="23"/>
  <c r="D26" i="23"/>
  <c r="D26" i="25" s="1"/>
  <c r="D25" i="23"/>
  <c r="D20" i="23"/>
  <c r="D20" i="25" s="1"/>
  <c r="D19" i="23"/>
  <c r="D14" i="27"/>
  <c r="D13" i="27"/>
  <c r="D14" i="19"/>
  <c r="D13" i="19"/>
  <c r="D14" i="20"/>
  <c r="D15" i="20" s="1"/>
  <c r="D13" i="20"/>
  <c r="D11" i="20" s="1"/>
  <c r="D51" i="20" s="1"/>
  <c r="D9" i="20" s="1"/>
  <c r="D14" i="26"/>
  <c r="D13" i="26"/>
  <c r="D14" i="21"/>
  <c r="D13" i="21"/>
  <c r="D14" i="18"/>
  <c r="D13" i="18"/>
  <c r="D14" i="17"/>
  <c r="D13" i="17"/>
  <c r="D14" i="16"/>
  <c r="D13" i="16"/>
  <c r="D14" i="15"/>
  <c r="D13" i="15"/>
  <c r="D14" i="14"/>
  <c r="D13" i="14"/>
  <c r="D14" i="13"/>
  <c r="D13" i="13"/>
  <c r="D14" i="11"/>
  <c r="D14" i="10"/>
  <c r="D13" i="10"/>
  <c r="D14" i="9"/>
  <c r="D13" i="9"/>
  <c r="D15" i="8"/>
  <c r="D13" i="8"/>
  <c r="D14" i="7"/>
  <c r="D13" i="7"/>
  <c r="D14" i="6"/>
  <c r="D13" i="6"/>
  <c r="D14" i="5"/>
  <c r="D13" i="5"/>
  <c r="D14" i="4"/>
  <c r="D13" i="4"/>
  <c r="D14" i="3"/>
  <c r="D13" i="3"/>
  <c r="D15" i="2"/>
  <c r="D14" i="2"/>
  <c r="D13" i="2"/>
  <c r="D9" i="24"/>
  <c r="D47" i="27"/>
  <c r="D11" i="27"/>
  <c r="D51" i="27" s="1"/>
  <c r="D9" i="27" s="1"/>
  <c r="D11" i="22"/>
  <c r="D51" i="22" s="1"/>
  <c r="D9" i="22" s="1"/>
  <c r="D11" i="19"/>
  <c r="D51" i="19" s="1"/>
  <c r="D9" i="19" s="1"/>
  <c r="D11" i="26"/>
  <c r="D51" i="26" s="1"/>
  <c r="D9" i="26" s="1"/>
  <c r="D15" i="21"/>
  <c r="D11" i="21"/>
  <c r="D51" i="21" s="1"/>
  <c r="D9" i="21" s="1"/>
  <c r="D15" i="18"/>
  <c r="D11" i="18"/>
  <c r="D51" i="18" s="1"/>
  <c r="D9" i="18" s="1"/>
  <c r="D15" i="17"/>
  <c r="D11" i="17"/>
  <c r="D51" i="17" s="1"/>
  <c r="D9" i="17" s="1"/>
  <c r="D15" i="16"/>
  <c r="D11" i="16"/>
  <c r="D51" i="16" s="1"/>
  <c r="D9" i="16" s="1"/>
  <c r="D15" i="15"/>
  <c r="D11" i="15"/>
  <c r="D51" i="15" s="1"/>
  <c r="D9" i="15" s="1"/>
  <c r="D11" i="14"/>
  <c r="D51" i="14" s="1"/>
  <c r="D9" i="14" s="1"/>
  <c r="D15" i="13"/>
  <c r="D11" i="13"/>
  <c r="D51" i="13" s="1"/>
  <c r="D9" i="13" s="1"/>
  <c r="D15" i="12"/>
  <c r="D11" i="12"/>
  <c r="D51" i="12" s="1"/>
  <c r="D9" i="12" s="1"/>
  <c r="D15" i="11"/>
  <c r="D11" i="11"/>
  <c r="D51" i="11" s="1"/>
  <c r="D9" i="11" s="1"/>
  <c r="D15" i="10"/>
  <c r="D11" i="10"/>
  <c r="D51" i="10" s="1"/>
  <c r="D9" i="10" s="1"/>
  <c r="D15" i="9"/>
  <c r="D11" i="9"/>
  <c r="D51" i="9" s="1"/>
  <c r="D9" i="9" s="1"/>
  <c r="D11" i="8"/>
  <c r="D51" i="8" s="1"/>
  <c r="D9" i="8" s="1"/>
  <c r="D15" i="7"/>
  <c r="D11" i="7"/>
  <c r="D51" i="7" s="1"/>
  <c r="D9" i="7" s="1"/>
  <c r="D15" i="6"/>
  <c r="D11" i="6"/>
  <c r="D51" i="6" s="1"/>
  <c r="D9" i="6" s="1"/>
  <c r="D15" i="5"/>
  <c r="D11" i="5"/>
  <c r="D51" i="5" s="1"/>
  <c r="D9" i="5" s="1"/>
  <c r="D15" i="4"/>
  <c r="D11" i="4"/>
  <c r="D51" i="4" s="1"/>
  <c r="D9" i="4" s="1"/>
  <c r="D15" i="3"/>
  <c r="D11" i="3"/>
  <c r="D51" i="3" s="1"/>
  <c r="D11" i="2"/>
  <c r="D14" i="1"/>
  <c r="D14" i="23" s="1"/>
  <c r="D9" i="3" l="1"/>
  <c r="D9" i="23" s="1"/>
  <c r="D9" i="25" s="1"/>
  <c r="D51" i="23"/>
  <c r="D51" i="25" s="1"/>
  <c r="D14" i="25"/>
  <c r="D33" i="23"/>
  <c r="D31" i="25"/>
  <c r="D33" i="25" s="1"/>
  <c r="D25" i="25"/>
  <c r="D27" i="25" s="1"/>
  <c r="D21" i="23"/>
  <c r="D19" i="25"/>
  <c r="D15" i="27"/>
  <c r="D15" i="19"/>
  <c r="D15" i="26"/>
  <c r="D15" i="14"/>
  <c r="D13" i="1"/>
  <c r="D8" i="25"/>
  <c r="D7" i="27"/>
  <c r="D8" i="24"/>
  <c r="D15" i="1" l="1"/>
  <c r="D13" i="23"/>
  <c r="D21" i="25"/>
  <c r="D6" i="27"/>
  <c r="D7" i="22"/>
  <c r="D7" i="19"/>
  <c r="D7" i="20"/>
  <c r="D7" i="26"/>
  <c r="D6" i="26" s="1"/>
  <c r="D7" i="21"/>
  <c r="D7" i="15"/>
  <c r="D7" i="18"/>
  <c r="D7" i="17"/>
  <c r="D7" i="16"/>
  <c r="D7" i="14"/>
  <c r="D7" i="13"/>
  <c r="D7" i="12"/>
  <c r="D7" i="11"/>
  <c r="D7" i="6"/>
  <c r="D7" i="1"/>
  <c r="D7" i="23" s="1"/>
  <c r="D7" i="25" s="1"/>
  <c r="D13" i="25" l="1"/>
  <c r="D15" i="23"/>
  <c r="D11" i="23"/>
  <c r="D56" i="27"/>
  <c r="D56" i="26"/>
  <c r="D15" i="25" l="1"/>
  <c r="D11" i="1"/>
  <c r="D6" i="25"/>
  <c r="D6" i="24"/>
  <c r="D6" i="23"/>
  <c r="D6" i="22"/>
  <c r="D6" i="21"/>
  <c r="D6" i="20"/>
  <c r="D6" i="19"/>
  <c r="D6" i="18"/>
  <c r="D6" i="17"/>
  <c r="D6" i="16"/>
  <c r="D6" i="15"/>
  <c r="D6" i="14"/>
  <c r="D6" i="13"/>
  <c r="D6" i="12"/>
  <c r="D6" i="11"/>
  <c r="D6" i="10"/>
  <c r="D6" i="9"/>
  <c r="D6" i="8"/>
  <c r="D6" i="7"/>
  <c r="D6" i="6"/>
  <c r="D6" i="5"/>
  <c r="D6" i="4"/>
  <c r="D6" i="3"/>
  <c r="D6" i="2"/>
  <c r="D56" i="24" l="1"/>
  <c r="D56" i="22"/>
  <c r="D56" i="21"/>
  <c r="D56" i="20"/>
  <c r="D56" i="19"/>
  <c r="D56" i="18"/>
  <c r="D56" i="17"/>
  <c r="D56" i="16"/>
  <c r="D56" i="15"/>
  <c r="D56" i="14"/>
  <c r="D56" i="13"/>
  <c r="D56" i="12"/>
  <c r="D56" i="11"/>
  <c r="D56" i="10"/>
  <c r="D56" i="9"/>
  <c r="D56" i="8"/>
  <c r="D56" i="7"/>
  <c r="D56" i="6"/>
  <c r="D56" i="5"/>
  <c r="D56" i="4"/>
  <c r="D56" i="3"/>
  <c r="D56" i="2"/>
  <c r="D56" i="23" l="1"/>
  <c r="D56" i="25" s="1"/>
  <c r="D6" i="1"/>
</calcChain>
</file>

<file path=xl/sharedStrings.xml><?xml version="1.0" encoding="utf-8"?>
<sst xmlns="http://schemas.openxmlformats.org/spreadsheetml/2006/main" count="4492" uniqueCount="144">
  <si>
    <t>Информация об основных показателях финансово-хозяйственной деятельности ОА "МЭС" за 2016 год</t>
  </si>
  <si>
    <t>№ п/п</t>
  </si>
  <si>
    <t>Информация, подлежащая раскрытию</t>
  </si>
  <si>
    <t>2.1</t>
  </si>
  <si>
    <t>производство тепловой энергии</t>
  </si>
  <si>
    <t>передача тепловой энергии</t>
  </si>
  <si>
    <t>1.1</t>
  </si>
  <si>
    <t>1.2</t>
  </si>
  <si>
    <t>2</t>
  </si>
  <si>
    <t>расходы на покупаемую тепловую энергию (мощность), теплоноситель</t>
  </si>
  <si>
    <t xml:space="preserve">2.2 </t>
  </si>
  <si>
    <t>расходы на покупаемую электрическую энергию (мощность), используемую в технологическом процессе (с указанием средневзвещенной стоимости 1 кВТ/ч), и объём приобретения электрической энергии</t>
  </si>
  <si>
    <t>2.3</t>
  </si>
  <si>
    <t>2.4</t>
  </si>
  <si>
    <t>расходы на приобретение холодной воды, используемой в технологическом процессе</t>
  </si>
  <si>
    <t>2.5</t>
  </si>
  <si>
    <t>2.6</t>
  </si>
  <si>
    <t>расходы на оплату труда и отчисления на социальные нужды основного производственного персонала</t>
  </si>
  <si>
    <t>2.7</t>
  </si>
  <si>
    <t>2.8</t>
  </si>
  <si>
    <t>2.9</t>
  </si>
  <si>
    <t>2.10</t>
  </si>
  <si>
    <t>2.11</t>
  </si>
  <si>
    <t>2.12</t>
  </si>
  <si>
    <t>2.13</t>
  </si>
  <si>
    <t>2.14</t>
  </si>
  <si>
    <t>расходы на амортизацию основных производственных средств</t>
  </si>
  <si>
    <t>расходы на аренду имущества (лизинг) используемого для осуществления регулируемого вида деятельности</t>
  </si>
  <si>
    <t>общепроизводственные расходы, в том числе отнесенные к ним расходы на текущий и капитальный ремонт</t>
  </si>
  <si>
    <t>2.3.1</t>
  </si>
  <si>
    <t>2.3.2</t>
  </si>
  <si>
    <t>средневзвешенная стоимость 1кВт/ч</t>
  </si>
  <si>
    <t>объём приобретенной электрической энергии</t>
  </si>
  <si>
    <t>общехозяйственные расходы, в том числе отнесенные к ним расходы на текущий и капитальный ремонт</t>
  </si>
  <si>
    <t>расходы на капитальный и текущий ремонт основных производственных средств (в том числе информация об объёмах товаров и услуг, их стоимости и способах приобретения у тех организаций, сумма оплаты услуг, которых превышает 20% суммы расходов по указанной статье расходов)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</si>
  <si>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объёмах товаров и услуг, их стоимости и способах приобретения)</t>
  </si>
  <si>
    <t>прочие расходы, которые отнесены на регулируемые виды деятельности, в соответствии с основами ценообразования в сфере теплоснабжения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</si>
  <si>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</si>
  <si>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</si>
  <si>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</si>
  <si>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</si>
  <si>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</si>
  <si>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</si>
  <si>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</si>
  <si>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</si>
  <si>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</si>
  <si>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</si>
  <si>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</si>
  <si>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</si>
  <si>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</si>
  <si>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</si>
  <si>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</si>
  <si>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</si>
  <si>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Годовая бухгалтерская отчётность, включая ухгалтерский баланс и приложения к нему (раскрывается регулируемой организацией, выручка от регулируемой деятельности которой превышает 80% совокупной выручки за отчётный год)</t>
  </si>
  <si>
    <t>2.2.1</t>
  </si>
  <si>
    <t>мазут топочный 100</t>
  </si>
  <si>
    <t>расходы на топливо:</t>
  </si>
  <si>
    <t>стоимость</t>
  </si>
  <si>
    <t>объём</t>
  </si>
  <si>
    <t>Единица измерения</t>
  </si>
  <si>
    <t>Сумма</t>
  </si>
  <si>
    <t>2.2.2</t>
  </si>
  <si>
    <t>уголь каменный</t>
  </si>
  <si>
    <t>2.2.3</t>
  </si>
  <si>
    <t>дизельное топливо</t>
  </si>
  <si>
    <t>флотский мазут</t>
  </si>
  <si>
    <t>2.2.4</t>
  </si>
  <si>
    <t>способ приобретения</t>
  </si>
  <si>
    <t>за счёт ввода (вывода) из эксплуатации</t>
  </si>
  <si>
    <t>переоценки</t>
  </si>
  <si>
    <t>4.1</t>
  </si>
  <si>
    <t>4.2</t>
  </si>
  <si>
    <t>тыс.руб.</t>
  </si>
  <si>
    <t xml:space="preserve">Выручка от регулируемой деятельности с разбивкой по видам деятельности </t>
  </si>
  <si>
    <t>Себестоимость производимых товаров (оказываемых услуг) по регулируемомму виду деятельности, включая:</t>
  </si>
  <si>
    <t>тонн</t>
  </si>
  <si>
    <t>руб.</t>
  </si>
  <si>
    <t>тыс.кВт/ч</t>
  </si>
  <si>
    <t>расходы на химические реагенты, используемые в технологическом процессе</t>
  </si>
  <si>
    <t>Сведения об изменении стоимости основных фондов (в том числе за счёт ввода в эксплуатацию (вывода из эксплуатации)), их переоценки</t>
  </si>
  <si>
    <t>Валовая прибыль от продажи товаров и услуг по регулируемому виду деятельности</t>
  </si>
  <si>
    <t>человек</t>
  </si>
  <si>
    <t>Среднесписочная численность основного производственного персонала</t>
  </si>
  <si>
    <t>Сведения о среднесписочной численности административно-управленческого персонала</t>
  </si>
  <si>
    <t>кг у.т./Гкал</t>
  </si>
  <si>
    <t>Сведения об удельном расходе топлива на единицу тепловой энергии, отпускаемой в тепловую сеть, с разбивкой по источникам тепловой энергии, используемым для осуществления регулируемых видов деятельности</t>
  </si>
  <si>
    <t xml:space="preserve">Сведения об удельном расходе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</t>
  </si>
  <si>
    <t>тыс. кВт.ч/Гкал</t>
  </si>
  <si>
    <t xml:space="preserve">Сведения об удельном расходе холодной воды 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</t>
  </si>
  <si>
    <t>куб.  м /Гкал</t>
  </si>
  <si>
    <t xml:space="preserve">О фактическом объёме потерь при передаче тепловой энергии </t>
  </si>
  <si>
    <t>тыс. Гкал</t>
  </si>
  <si>
    <t xml:space="preserve">О нормативах технологических потерь при передаче тепловой энергии, теплоносителя по тепловым сетям, утвержденных уполномоченным органом </t>
  </si>
  <si>
    <t>Ккал/ч.мес.</t>
  </si>
  <si>
    <t xml:space="preserve">Сведения об объёме тепловой энергии, отпускаемой потребителям, по договорам, заключенным в рамках осуществления регулируемых видов деятельности, в то м числе определенном по приборам учёта и расчётным путём (нормативам потребления коммунальных услуг) </t>
  </si>
  <si>
    <t>тыс.Гкал</t>
  </si>
  <si>
    <t>Сведения об объёме вырабатываемой организацией тепловой энергии в рамках осуществления регулируемых  видов деятельности</t>
  </si>
  <si>
    <t>Сведения об объёме приобретаемой  регулируемой организацией тепловой энергии в рамках осуществления регулируемых видов деятельности</t>
  </si>
  <si>
    <t>Гкал/ч</t>
  </si>
  <si>
    <t xml:space="preserve">Сведения об установленной тепловой мощности объектов основных фондов,  используемых для осуществления регулируемых видов деятельности, в том числе по каждому источнику тепловой энергии </t>
  </si>
  <si>
    <t xml:space="preserve">Сведения о тепловой нагрузке по договорам, заключенным в рамках осуществления регулируемых видов деятельности </t>
  </si>
  <si>
    <t xml:space="preserve">Чистая прибыль, полученная от регулируемого вида деятельности, с указанием размера её расходования на финансирование мероприятий, предусмотренных инвестиционной программой регулируемой организации </t>
  </si>
  <si>
    <t>г. Мурманск (Северная котельная, Абрам-Мыс, Роста, кот.Сигнал)</t>
  </si>
  <si>
    <t>г.п. Кола Кольского района</t>
  </si>
  <si>
    <t xml:space="preserve">не определяется </t>
  </si>
  <si>
    <t>г.п. Молочный Кольского района</t>
  </si>
  <si>
    <t>г.п. Мурмаши Кольского района</t>
  </si>
  <si>
    <t>г.п. Верхнетуломский Кольского района</t>
  </si>
  <si>
    <t>г.п. Кильдинстрой Кольского района (п.г.т Кильдинстрой и н.п. Шонгуй)</t>
  </si>
  <si>
    <t>с.п.Ловозеро Ловозерского района</t>
  </si>
  <si>
    <t>г.п. Ревда Ловозерского района</t>
  </si>
  <si>
    <t>г. Оленегорск (н.п. Высокий)</t>
  </si>
  <si>
    <t>г. Гаджиево ЗАТО Александровск</t>
  </si>
  <si>
    <t>ЗАТО город Североморск (без учета котельной п. Росляково)</t>
  </si>
  <si>
    <t>г.п. Никель Печенгского района</t>
  </si>
  <si>
    <t>г. Полярный ЗАТО Александровск</t>
  </si>
  <si>
    <t>г. Снежногорск ЗАТО Александровск</t>
  </si>
  <si>
    <t>с.п. Териберка Кольского района</t>
  </si>
  <si>
    <t>г. Кандалакша</t>
  </si>
  <si>
    <t>с.п. Умба</t>
  </si>
  <si>
    <t>с.п. Зеленоборский</t>
  </si>
  <si>
    <t>Котельная микрорайона Нива-3 г.Кандалакши</t>
  </si>
  <si>
    <t>с.п. Белое море</t>
  </si>
  <si>
    <t>с.п. Ёнский Ковдорского района</t>
  </si>
  <si>
    <t>с.п. Пушной Кольского района (ж/д ст. Лопарская)</t>
  </si>
  <si>
    <t>ИТОГО регулируемая деятельность</t>
  </si>
  <si>
    <t>н.п. Росляково</t>
  </si>
  <si>
    <t>Ура-Губа</t>
  </si>
  <si>
    <t>стоимость доставки</t>
  </si>
  <si>
    <t xml:space="preserve">стоимость 1-й единицы объёма </t>
  </si>
  <si>
    <t>расходы на оплату труда и отчисления на социальные нужды административно-управленческого персонала</t>
  </si>
  <si>
    <t>ООО "Стройиндустрия" договр №70-16-392 от 01.06.2016г. Восстановление асфальтобетонного покрытия в Ленинском и Октябрьском округах</t>
  </si>
  <si>
    <t>ООО "ТехноСтройПроект" договор № 70-15-788 от 22.07.2015г. Капитальный ремонт кровли здания котельной "Росты"</t>
  </si>
  <si>
    <t>ООО "КоРТ" договр №70-16-516 от 08.07.2016г. Ремонт дымовых труб</t>
  </si>
  <si>
    <t>АО "КОРТА" договор №70-16-480 от 27.06.2016г. от 27.06.2016г. Капитальный ремонт металлических дымовых труб</t>
  </si>
  <si>
    <t>АО "КОРТА" договор №70-16-509 от 06.07.2016г. Капитальный ремонт центрального газохода котла №1,2 до дымохода трубы</t>
  </si>
  <si>
    <t>ЗАО "Севзаплесэнерго" договор №70-16-506 от 04.07.2016г. Капитальный ремонт котла ПТВМ-50 ст.№8 в котельном цехе</t>
  </si>
  <si>
    <t>ОА "КОРТА" договор №70-16-480 от 27.06.2016г. Капитальный ремонт металличесикх дымовых труб</t>
  </si>
  <si>
    <t>АО "КОРТА" договор №70-16-480 от 27.06.2016г. Капитальный ремонт металлической дымовой трубы</t>
  </si>
  <si>
    <t xml:space="preserve">ООО "Эксперт-технология" договор №10-2015/ЭТ от 13.03.2015г. Ремонт и техническое освидетельствование парового котла ДКВР-20/13 ст.№1 </t>
  </si>
  <si>
    <t>ООО "Грейс" договор №70-16-747 от 07.10.2016г. Ремонт межпанельных швов здания котельной</t>
  </si>
  <si>
    <t>показана в отчёте по предприятию</t>
  </si>
  <si>
    <t>ООО "Стройиндустрия" договор №70-16-392 от 01.06.2016г. Восстановление асфальтобетонного покрытия в Ленинском и Октябрьском округах</t>
  </si>
  <si>
    <t xml:space="preserve">Сведения об объёме тепловой энергии, отпускаемой потребителям, по договорам, заключенным в рамках осуществления регулируемых видов деятельности, в том числе определенном по приборам учёта и расчётным путём (нормативам потребления коммунальных услуг)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</si>
</sst>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_ ;[Red]\-#,##0.0\ "/>
    <numFmt numFmtId="165" formatCode="0.0"/>
    <numFmt numFmtId="166" formatCode="#,##0.0"/>
    <numFmt numFmtId="167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 indent="3"/>
    </xf>
    <xf numFmtId="164" fontId="0" fillId="0" borderId="1" xfId="0" applyNumberFormat="1" applyBorder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 indent="5"/>
    </xf>
    <xf numFmtId="0" fontId="0" fillId="0" borderId="1" xfId="0" applyBorder="1" applyAlignment="1">
      <alignment horizontal="left" wrapText="1" indent="2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0" xfId="0" applyFont="1"/>
    <xf numFmtId="165" fontId="0" fillId="0" borderId="0" xfId="0" applyNumberFormat="1"/>
    <xf numFmtId="0" fontId="0" fillId="0" borderId="1" xfId="0" applyFill="1" applyBorder="1" applyAlignment="1">
      <alignment wrapText="1"/>
    </xf>
    <xf numFmtId="166" fontId="0" fillId="0" borderId="0" xfId="0" applyNumberFormat="1"/>
    <xf numFmtId="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167" fontId="3" fillId="0" borderId="1" xfId="0" applyNumberFormat="1" applyFont="1" applyBorder="1"/>
    <xf numFmtId="167" fontId="0" fillId="0" borderId="1" xfId="0" applyNumberFormat="1" applyBorder="1"/>
    <xf numFmtId="167" fontId="6" fillId="0" borderId="1" xfId="0" applyNumberFormat="1" applyFont="1" applyBorder="1"/>
    <xf numFmtId="167" fontId="3" fillId="0" borderId="1" xfId="0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 vertical="center" wrapText="1"/>
    </xf>
    <xf numFmtId="167" fontId="0" fillId="0" borderId="1" xfId="0" applyNumberFormat="1" applyFill="1" applyBorder="1"/>
    <xf numFmtId="0" fontId="4" fillId="0" borderId="0" xfId="0" applyFont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workbookViewId="0">
      <pane xSplit="1" ySplit="5" topLeftCell="B63" activePane="bottomRight" state="frozen"/>
      <selection pane="topRight" activeCell="B1" sqref="B1"/>
      <selection pane="bottomLeft" activeCell="A4" sqref="A4"/>
      <selection pane="bottomRight" activeCell="D67" sqref="D67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5" max="5" width="9.140625" customWidth="1"/>
    <col min="6" max="6" width="10.42578125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102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1754801.7703799999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1482186.84844+17056.1549+33520.37169+220123.10035+1915.295</f>
        <v>1754801.7703799999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D10+D11+D36+D39+D40+D41+D42+D43+D44+D45+D46+D47+D50+D51</f>
        <v>1499050.3680799997</v>
      </c>
      <c r="F9" s="23">
        <v>1499050.3680799999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>
        <v>0</v>
      </c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778517.87547000009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645465.18448+20273.61353+110809.99783</f>
        <v>776548.79584000004</v>
      </c>
    </row>
    <row r="14" spans="1:6" x14ac:dyDescent="0.25">
      <c r="A14" s="4"/>
      <c r="B14" s="9" t="s">
        <v>58</v>
      </c>
      <c r="C14" s="8" t="s">
        <v>75</v>
      </c>
      <c r="D14" s="31">
        <f>71336.103+2238.837+12188.677</f>
        <v>85763.616999999998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9.0545247857258637</v>
      </c>
    </row>
    <row r="16" spans="1:6" x14ac:dyDescent="0.25">
      <c r="A16" s="4"/>
      <c r="B16" s="9" t="s">
        <v>128</v>
      </c>
      <c r="C16" s="8" t="s">
        <v>72</v>
      </c>
      <c r="D16" s="31">
        <v>1814.5511799999999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>
        <f>1969.07963</f>
        <v>1969.07963</v>
      </c>
    </row>
    <row r="26" spans="1:4" x14ac:dyDescent="0.25">
      <c r="A26" s="4"/>
      <c r="B26" s="9" t="s">
        <v>58</v>
      </c>
      <c r="C26" s="8" t="s">
        <v>75</v>
      </c>
      <c r="D26" s="31">
        <f>64.344</f>
        <v>64.343999999999994</v>
      </c>
    </row>
    <row r="27" spans="1:4" x14ac:dyDescent="0.25">
      <c r="A27" s="4"/>
      <c r="B27" s="9" t="s">
        <v>129</v>
      </c>
      <c r="C27" s="8" t="s">
        <v>72</v>
      </c>
      <c r="D27" s="31">
        <f>D25/D26</f>
        <v>30.602381418624894</v>
      </c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42251.30043+4505.51543+3373.54985+14989.64447</f>
        <v>65120.010180000005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2.768697356626153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23520.0897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8638.1688+2532.16138+6.71651+313.53535+1975.30842+1.82609</f>
        <v>13467.716549999999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v>1542.45919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52811.55463+17420.56632+19477.55821+6012.36804+37538.2182+12110.68356+8045.12102+2437.24802+15172.96325+5025.9227+33569.95701+11160.35819+44.30717+13.38082-4465.56981-1364.69041</f>
        <v>215009.94691999999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15.04236+20.14896+307.07444</f>
        <v>342.26576</v>
      </c>
    </row>
    <row r="44" spans="1:4" ht="30" x14ac:dyDescent="0.25">
      <c r="A44" s="4" t="s">
        <v>20</v>
      </c>
      <c r="B44" s="22" t="s">
        <v>27</v>
      </c>
      <c r="C44" s="8" t="s">
        <v>72</v>
      </c>
      <c r="D44" s="31">
        <f>21542.91144+31321.27692+2700.70272+1462.55496+3181.04508+18499.21392</f>
        <v>78707.705040000001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35882.81773+16357.10828+20556.99459+1156.94045+2956.01132+6898.34634+5987.80505+25708.44101+35.306-4081.50895-22.172-197.66831-178.93461-196.23188-3651.32608-35.306</f>
        <v>107176.62293999999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f>15600.42747+834.94817+1440.28716+33.05743+316.4633+600.63194+3259.59199</f>
        <v>22085.407460000002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9928.16246+29177.58496+4470.57055+5249.45445</f>
        <v>48825.772420000001</v>
      </c>
    </row>
    <row r="48" spans="1:4" ht="45" x14ac:dyDescent="0.25">
      <c r="A48" s="4"/>
      <c r="B48" s="5" t="s">
        <v>131</v>
      </c>
      <c r="C48" s="8" t="s">
        <v>72</v>
      </c>
      <c r="D48" s="31">
        <v>1090.9208900000001</v>
      </c>
    </row>
    <row r="49" spans="1:4" ht="30" x14ac:dyDescent="0.25">
      <c r="A49" s="4"/>
      <c r="B49" s="5" t="s">
        <v>132</v>
      </c>
      <c r="C49" s="8" t="s">
        <v>72</v>
      </c>
      <c r="D49" s="31">
        <v>1111.82475</v>
      </c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f>4081.50895+22.172+197.66831+178.93461+884.16743+3651.32608+35.306</f>
        <v>9051.08338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159203.50276999988</v>
      </c>
    </row>
    <row r="52" spans="1:4" s="20" customFormat="1" ht="60" x14ac:dyDescent="0.25">
      <c r="A52" s="18" t="s">
        <v>37</v>
      </c>
      <c r="B52" s="16" t="s">
        <v>101</v>
      </c>
      <c r="C52" s="17" t="s">
        <v>72</v>
      </c>
      <c r="D52" s="33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D54</f>
        <v>51.1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51.1</f>
        <v>51.1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255751.40230000019</v>
      </c>
    </row>
    <row r="57" spans="1:4" ht="60" x14ac:dyDescent="0.25">
      <c r="A57" s="4" t="s">
        <v>40</v>
      </c>
      <c r="B57" s="3" t="s">
        <v>53</v>
      </c>
      <c r="C57" s="8"/>
      <c r="D57" s="6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555.07000000000005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678.91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622.0695</f>
        <v>622.06949999999995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73.765000000000001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74.459000000000003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246.9+32.3+70.4+0.1</f>
        <v>349.70000000000005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25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174.124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0.65100000000000002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A89" s="2"/>
      <c r="B89" s="1"/>
      <c r="C89" s="11"/>
    </row>
    <row r="90" spans="1:3" x14ac:dyDescent="0.25">
      <c r="A90" s="2"/>
      <c r="B90" s="1"/>
      <c r="C90" s="11"/>
    </row>
    <row r="91" spans="1:3" x14ac:dyDescent="0.25">
      <c r="A91" s="2"/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  <row r="111" spans="2:3" x14ac:dyDescent="0.25">
      <c r="B111" s="1"/>
      <c r="C111" s="11"/>
    </row>
    <row r="112" spans="2:3" x14ac:dyDescent="0.25">
      <c r="B112" s="1"/>
      <c r="C112" s="11"/>
    </row>
    <row r="113" spans="2:3" x14ac:dyDescent="0.25">
      <c r="B113" s="1"/>
      <c r="C113" s="11"/>
    </row>
    <row r="114" spans="2:3" x14ac:dyDescent="0.25">
      <c r="B114" s="1"/>
    </row>
  </sheetData>
  <mergeCells count="2">
    <mergeCell ref="A1:D1"/>
    <mergeCell ref="A3:D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112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236923.95006999999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v>236923.95006999999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202605.59497000003</v>
      </c>
      <c r="F9" s="23">
        <v>202605.59497000001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113803.04384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113803.04384</f>
        <v>113803.04384</v>
      </c>
    </row>
    <row r="14" spans="1:6" x14ac:dyDescent="0.25">
      <c r="A14" s="4"/>
      <c r="B14" s="9" t="s">
        <v>58</v>
      </c>
      <c r="C14" s="8" t="s">
        <v>75</v>
      </c>
      <c r="D14" s="31">
        <f>12505.869</f>
        <v>12505.869000000001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9.099970888868258</v>
      </c>
    </row>
    <row r="16" spans="1:6" x14ac:dyDescent="0.25">
      <c r="A16" s="4"/>
      <c r="B16" s="9" t="s">
        <v>128</v>
      </c>
      <c r="C16" s="8" t="s">
        <v>72</v>
      </c>
      <c r="D16" s="31">
        <f>5670.50603</f>
        <v>5670.5060299999996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10306.65354</f>
        <v>10306.653539999999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4.0636202644536992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2536.3229999999999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1872.90326</f>
        <v>1872.90326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24207.39657+7935.554</f>
        <v>32142.950570000001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20.85576</f>
        <v>20.85576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5465.916+249.51324</f>
        <v>5715.4292400000004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16286.73981-1041.28484</f>
        <v>15245.454969999999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2822.2858799999999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3581.7073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17094.310610000015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D54</f>
        <v>274.3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274.3</f>
        <v>274.3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34318.355099999957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82.5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96.239000000000004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v>79.4251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14.19633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16.43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49.4</f>
        <v>49.4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179.04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0.41199999999999998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D38" sqref="D38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10.42578125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113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1702474.83953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1543225.95098+159248.88855</f>
        <v>1702474.83953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1154861.4344600004</v>
      </c>
      <c r="F9" s="23">
        <f>1056686.16167+98175.27279</f>
        <v>1154861.4344600001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791731.13976000005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v>762622.40477000002</v>
      </c>
    </row>
    <row r="14" spans="1:6" x14ac:dyDescent="0.25">
      <c r="A14" s="4"/>
      <c r="B14" s="9" t="s">
        <v>58</v>
      </c>
      <c r="C14" s="8" t="s">
        <v>75</v>
      </c>
      <c r="D14" s="31">
        <f>84128.51</f>
        <v>84128.51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9.0649698273510388</v>
      </c>
    </row>
    <row r="16" spans="1:6" x14ac:dyDescent="0.25">
      <c r="A16" s="4"/>
      <c r="B16" s="9" t="s">
        <v>128</v>
      </c>
      <c r="C16" s="8" t="s">
        <v>72</v>
      </c>
      <c r="D16" s="31">
        <f>321.58369</f>
        <v>321.58368999999999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>
        <f>4436.01588</f>
        <v>4436.0158799999999</v>
      </c>
    </row>
    <row r="20" spans="1:4" x14ac:dyDescent="0.25">
      <c r="A20" s="4"/>
      <c r="B20" s="9" t="s">
        <v>58</v>
      </c>
      <c r="C20" s="8" t="s">
        <v>75</v>
      </c>
      <c r="D20" s="31">
        <f>1316.103</f>
        <v>1316.1030000000001</v>
      </c>
    </row>
    <row r="21" spans="1:4" x14ac:dyDescent="0.25">
      <c r="A21" s="4"/>
      <c r="B21" s="9" t="s">
        <v>129</v>
      </c>
      <c r="C21" s="8" t="s">
        <v>72</v>
      </c>
      <c r="D21" s="31">
        <f>D19/D20</f>
        <v>3.3705689296354464</v>
      </c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>
        <f>4901.54373</f>
        <v>4901.5437300000003</v>
      </c>
    </row>
    <row r="26" spans="1:4" x14ac:dyDescent="0.25">
      <c r="A26" s="4"/>
      <c r="B26" s="9" t="s">
        <v>58</v>
      </c>
      <c r="C26" s="8" t="s">
        <v>75</v>
      </c>
      <c r="D26" s="31">
        <f>145.12</f>
        <v>145.12</v>
      </c>
    </row>
    <row r="27" spans="1:4" x14ac:dyDescent="0.25">
      <c r="A27" s="4"/>
      <c r="B27" s="9" t="s">
        <v>129</v>
      </c>
      <c r="C27" s="8" t="s">
        <v>72</v>
      </c>
      <c r="D27" s="31">
        <f>D25/D26</f>
        <v>33.775797477949283</v>
      </c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>
        <f>19771.17538</f>
        <v>19771.175380000001</v>
      </c>
    </row>
    <row r="32" spans="1:4" x14ac:dyDescent="0.25">
      <c r="A32" s="4"/>
      <c r="B32" s="9" t="s">
        <v>58</v>
      </c>
      <c r="C32" s="8" t="s">
        <v>75</v>
      </c>
      <c r="D32" s="31">
        <f>1489.385</f>
        <v>1489.385</v>
      </c>
    </row>
    <row r="33" spans="1:4" x14ac:dyDescent="0.25">
      <c r="A33" s="4"/>
      <c r="B33" s="9" t="s">
        <v>129</v>
      </c>
      <c r="C33" s="8" t="s">
        <v>72</v>
      </c>
      <c r="D33" s="31">
        <f>D31/D32</f>
        <v>13.274724386239958</v>
      </c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80208.71152</f>
        <v>80208.711519999997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3.1689285112062788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25310.988000000001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13729.50077</f>
        <v>13729.500770000001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/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v>0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10769.201</f>
        <v>10769.200999999999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6394.78562-2972.46261</f>
        <v>3422.3230099999996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10892.17713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2972.46261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241135.91866000011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547613.40506999963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487.74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666.822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531.545</f>
        <v>531.54499999999996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79.754769999999994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100.752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/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179.18199999999999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1.5389999999999999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114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344790.95390999998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344790.95391</f>
        <v>344790.95390999998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398746.02415000001</v>
      </c>
      <c r="F9" s="23">
        <v>398746.02415000001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257719.17705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v>257719.17705</v>
      </c>
    </row>
    <row r="14" spans="1:6" x14ac:dyDescent="0.25">
      <c r="A14" s="4"/>
      <c r="B14" s="9" t="s">
        <v>58</v>
      </c>
      <c r="C14" s="8" t="s">
        <v>75</v>
      </c>
      <c r="D14" s="31">
        <f>28641.955</f>
        <v>28641.955000000002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8.9979604063339949</v>
      </c>
    </row>
    <row r="16" spans="1:6" x14ac:dyDescent="0.25">
      <c r="A16" s="4"/>
      <c r="B16" s="9" t="s">
        <v>128</v>
      </c>
      <c r="C16" s="8" t="s">
        <v>72</v>
      </c>
      <c r="D16" s="31">
        <v>137.804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22823.69721</f>
        <v>22823.697209999998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2.1352333529296419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10689.088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5607.82342</f>
        <v>5607.8234199999997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34418.78735+11518.35353</f>
        <v>45937.140879999999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11.90658</f>
        <v>11.90658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1906.71936</f>
        <v>1906.7193600000001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19511.29163-3567.43533</f>
        <v>15943.856299999999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2966.9622100000001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18121.94924</f>
        <v>18121.949240000002</v>
      </c>
    </row>
    <row r="48" spans="1:4" s="20" customFormat="1" ht="30" x14ac:dyDescent="0.25">
      <c r="A48" s="4"/>
      <c r="B48" s="5" t="s">
        <v>136</v>
      </c>
      <c r="C48" s="8" t="s">
        <v>72</v>
      </c>
      <c r="D48" s="31">
        <v>6977.2023499999996</v>
      </c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3567.4353299999998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24139.356570000011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D54</f>
        <v>633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633</f>
        <v>633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-53955.07024000003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188.1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187.85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149.4847</f>
        <v>149.4847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10.221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30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70.5</f>
        <v>70.5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209.17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1.619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115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442533.12141999998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442533.12142</f>
        <v>442533.12141999998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433572.33221000002</v>
      </c>
      <c r="F9" s="23">
        <f>3045.37445+430526.95776</f>
        <v>433572.33221000002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203693.44037999999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203693.44038</f>
        <v>203693.44037999999</v>
      </c>
    </row>
    <row r="14" spans="1:6" x14ac:dyDescent="0.25">
      <c r="A14" s="4"/>
      <c r="B14" s="9" t="s">
        <v>58</v>
      </c>
      <c r="C14" s="8" t="s">
        <v>75</v>
      </c>
      <c r="D14" s="31">
        <f>22549.038</f>
        <v>22549.038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9.0333539009513384</v>
      </c>
    </row>
    <row r="16" spans="1:6" x14ac:dyDescent="0.25">
      <c r="A16" s="4"/>
      <c r="B16" s="9" t="s">
        <v>128</v>
      </c>
      <c r="C16" s="8" t="s">
        <v>72</v>
      </c>
      <c r="D16" s="31">
        <f>6370.93807</f>
        <v>6370.9380700000002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32066.026</f>
        <v>32066.026000000002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4.0721503796445981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7874.47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5333.25009</f>
        <v>5333.2500899999995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11028.67513+3542.87769</f>
        <v>14571.552819999999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v>0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2718.216+8035.11343</f>
        <v>10753.32943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14725.82323-6334.2407</f>
        <v>8391.5825299999997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6024.7193900000002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8409.6730900000002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144328.75847999999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8960.789209999959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102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179.13800000000001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140.0547</f>
        <v>140.0547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23.99296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24.303999999999998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18.6</f>
        <v>18.600000000000001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173.95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0.74199999999999999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3" sqref="D43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116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384597.36177000002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361248.22953+23349.13224</f>
        <v>384597.36177000002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319884.64921000006</v>
      </c>
      <c r="F9" s="23">
        <f>6634.87037+287442.45368+25807.32516</f>
        <v>319884.64921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157129.40903000001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148144.55858+8984.85045</f>
        <v>157129.40903000001</v>
      </c>
    </row>
    <row r="14" spans="1:6" x14ac:dyDescent="0.25">
      <c r="A14" s="4"/>
      <c r="B14" s="9" t="s">
        <v>58</v>
      </c>
      <c r="C14" s="8" t="s">
        <v>75</v>
      </c>
      <c r="D14" s="31">
        <f>16361.539+988.945</f>
        <v>17350.484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9.0561974542035841</v>
      </c>
    </row>
    <row r="16" spans="1:6" x14ac:dyDescent="0.25">
      <c r="A16" s="4"/>
      <c r="B16" s="9" t="s">
        <v>128</v>
      </c>
      <c r="C16" s="8" t="s">
        <v>72</v>
      </c>
      <c r="D16" s="31">
        <f>7729.58137+282.74077</f>
        <v>8012.3221400000002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17435.45008+2081.91278</f>
        <v>19517.362859999997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4.0505303155295529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4818.4709999999995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1230.67443+12.3061</f>
        <v>1242.98053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33080.46178+10817.07845+6372.45037+2070.45367</f>
        <v>52340.44427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v>0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5850.552+8070.6371</f>
        <v>13921.1891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29974.52982+3674.59696-5292.4804-51.63695</f>
        <v>28305.009429999998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f>5055.72256+252.42211</f>
        <v>5308.1446700000006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1135.2305</f>
        <v>1135.2304999999999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f>10775.44728+98.03365</f>
        <v>10873.48093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30111.397889999993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64712.712559999956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110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139.46100000000001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122.5911+7.9528</f>
        <v>130.54390000000001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15.053140000000001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15.119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60.8+12</f>
        <v>72.8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171.57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6">
        <v>0.28899999999999998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47" sqref="D47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117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17281.346250000002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14012.90198+3268.44427</f>
        <v>17281.346250000002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29006.58454</v>
      </c>
      <c r="F9" s="23">
        <f>22075.21546+6931.36908</f>
        <v>29006.58454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8615.7452499999999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5804.25094</f>
        <v>5804.2509399999999</v>
      </c>
    </row>
    <row r="14" spans="1:6" x14ac:dyDescent="0.25">
      <c r="A14" s="4"/>
      <c r="B14" s="9" t="s">
        <v>58</v>
      </c>
      <c r="C14" s="8" t="s">
        <v>75</v>
      </c>
      <c r="D14" s="31">
        <f>641.453</f>
        <v>641.45299999999997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9.0485989464543781</v>
      </c>
    </row>
    <row r="16" spans="1:6" x14ac:dyDescent="0.25">
      <c r="A16" s="4"/>
      <c r="B16" s="9" t="s">
        <v>128</v>
      </c>
      <c r="C16" s="8" t="s">
        <v>72</v>
      </c>
      <c r="D16" s="31">
        <f>525.99929</f>
        <v>525.99928999999997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>
        <f>2811.49431</f>
        <v>2811.49431</v>
      </c>
    </row>
    <row r="20" spans="1:4" x14ac:dyDescent="0.25">
      <c r="A20" s="4"/>
      <c r="B20" s="9" t="s">
        <v>58</v>
      </c>
      <c r="C20" s="8" t="s">
        <v>75</v>
      </c>
      <c r="D20" s="31">
        <f>833.83</f>
        <v>833.83</v>
      </c>
    </row>
    <row r="21" spans="1:4" x14ac:dyDescent="0.25">
      <c r="A21" s="4"/>
      <c r="B21" s="9" t="s">
        <v>129</v>
      </c>
      <c r="C21" s="8" t="s">
        <v>72</v>
      </c>
      <c r="D21" s="31">
        <f>D19/D20</f>
        <v>3.3717835889809673</v>
      </c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1473.66767+96.22443</f>
        <v>1569.8921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4.0100132058555324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391.49299999999999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81.08718+31.148</f>
        <v>112.23518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5736.74352+1855.49482+2487.79494+834.87691</f>
        <v>10914.910189999999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35.80671</f>
        <v>35.806710000000002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600+120</f>
        <v>720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3605.54374+9.02881-79.68767</f>
        <v>3534.8848800000001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f>176.34431+32.7814</f>
        <v>209.12571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600.65832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2693.3262000000009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D54</f>
        <v>45.5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45.5</f>
        <v>45.5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-11725.238289999998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9.68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6.0209999999999999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5.0796+1.8717</f>
        <v>6.9512999999999998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1.008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1.1679999999999999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12.8+6</f>
        <v>18.8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250.38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0.64400000000000002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0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118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696698.06255000003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668092.9712+28605.09135</f>
        <v>696698.06255000003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739784.96591000003</v>
      </c>
      <c r="F9" s="23">
        <f>719410.54013+20374.42578</f>
        <v>739784.96591000003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327326.76705000002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327326.76705</f>
        <v>327326.76705000002</v>
      </c>
    </row>
    <row r="14" spans="1:6" x14ac:dyDescent="0.25">
      <c r="A14" s="4"/>
      <c r="B14" s="9" t="s">
        <v>58</v>
      </c>
      <c r="C14" s="8" t="s">
        <v>75</v>
      </c>
      <c r="D14" s="31">
        <f>36096.482</f>
        <v>36096.482000000004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9.0681071648478095</v>
      </c>
    </row>
    <row r="16" spans="1:6" x14ac:dyDescent="0.25">
      <c r="A16" s="4"/>
      <c r="B16" s="9" t="s">
        <v>128</v>
      </c>
      <c r="C16" s="8" t="s">
        <v>72</v>
      </c>
      <c r="D16" s="31">
        <f>988.23265</f>
        <v>988.23265000000004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35318.33801</f>
        <v>35318.338009999999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4.0043707756974047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8819.9470000000001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13114.4377</f>
        <v>13114.4377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24.85016</f>
        <v>24.850159999999999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102556.03533+34475.06679</f>
        <v>137031.10212</v>
      </c>
    </row>
    <row r="42" spans="1:4" ht="30" x14ac:dyDescent="0.25">
      <c r="A42" s="4" t="s">
        <v>18</v>
      </c>
      <c r="B42" s="22" t="s">
        <v>130</v>
      </c>
      <c r="C42" s="29" t="s">
        <v>72</v>
      </c>
      <c r="D42" s="35">
        <v>0</v>
      </c>
    </row>
    <row r="43" spans="1:4" x14ac:dyDescent="0.25">
      <c r="A43" s="4" t="s">
        <v>19</v>
      </c>
      <c r="B43" s="3" t="s">
        <v>26</v>
      </c>
      <c r="C43" s="8" t="s">
        <v>72</v>
      </c>
      <c r="D43" s="31">
        <f>1006.69529</f>
        <v>1006.69529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18287.232+448.49928</f>
        <v>18735.73128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101870.33482-3549.77958</f>
        <v>98320.555240000002</v>
      </c>
    </row>
    <row r="46" spans="1:4" ht="30" x14ac:dyDescent="0.25">
      <c r="A46" s="4" t="s">
        <v>22</v>
      </c>
      <c r="B46" s="22" t="s">
        <v>33</v>
      </c>
      <c r="C46" s="29" t="s">
        <v>72</v>
      </c>
      <c r="D46" s="35">
        <f>12067.95246</f>
        <v>12067.95246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1869.45002</f>
        <v>1869.45002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3101.2802999999999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91867.806280000004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D54</f>
        <v>8805.7999999999993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8805.8</f>
        <v>8805.7999999999993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-43086.903359999997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165.619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259.298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203.6399+6.945</f>
        <v>210.5849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43.639000000000003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42.767000000000003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220.3</f>
        <v>220.3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189.99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0.93200000000000005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43" sqref="D43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119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95277.005000000005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95277.005</f>
        <v>95277.005000000005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136850.87969999999</v>
      </c>
      <c r="F9" s="23">
        <v>136850.87969999999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51184.285060000002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51184.28506</f>
        <v>51184.285060000002</v>
      </c>
    </row>
    <row r="14" spans="1:6" x14ac:dyDescent="0.25">
      <c r="A14" s="4"/>
      <c r="B14" s="9" t="s">
        <v>58</v>
      </c>
      <c r="C14" s="8" t="s">
        <v>75</v>
      </c>
      <c r="D14" s="31">
        <f>5666.248</f>
        <v>5666.2479999999996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9.0331882861463182</v>
      </c>
    </row>
    <row r="16" spans="1:6" x14ac:dyDescent="0.25">
      <c r="A16" s="4"/>
      <c r="B16" s="9" t="s">
        <v>128</v>
      </c>
      <c r="C16" s="8" t="s">
        <v>72</v>
      </c>
      <c r="D16" s="31">
        <f>4251.6047</f>
        <v>4251.6046999999999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5306.43838</f>
        <v>5306.4383799999996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4.2681818130632889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1243.2550000000001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844.09273</f>
        <v>844.09272999999996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1.26853</f>
        <v>1.2685299999999999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25545.29288+8524.95693</f>
        <v>34070.249810000001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v>0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2902.104+53.868</f>
        <v>2955.9719999999998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16405.63591-635.9772</f>
        <v>15769.658710000002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1599.8427099999999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1738.044</f>
        <v>1738.0440000000001</v>
      </c>
    </row>
    <row r="48" spans="1:4" s="20" customFormat="1" ht="30" x14ac:dyDescent="0.25">
      <c r="A48" s="4"/>
      <c r="B48" s="5" t="s">
        <v>137</v>
      </c>
      <c r="C48" s="8" t="s">
        <v>72</v>
      </c>
      <c r="D48" s="31">
        <f>1738.044</f>
        <v>1738.0440000000001</v>
      </c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961.90222000000006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22419.125549999982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-41573.874699999986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19.376000000000001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40.570999999999998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29.2232</f>
        <v>29.223199999999999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7.71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6.8280000000000003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55.4</f>
        <v>55.4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190.791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0.54100000000000004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120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115021.24957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115021.24957</f>
        <v>115021.24957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152046.96634000001</v>
      </c>
      <c r="F9" s="23">
        <v>152046.96634000001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62375.329389999999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60362.34465</f>
        <v>60362.344649999999</v>
      </c>
    </row>
    <row r="14" spans="1:6" x14ac:dyDescent="0.25">
      <c r="A14" s="4"/>
      <c r="B14" s="9" t="s">
        <v>58</v>
      </c>
      <c r="C14" s="8" t="s">
        <v>75</v>
      </c>
      <c r="D14" s="31">
        <f>6640.992</f>
        <v>6640.9920000000002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9.0893566277447704</v>
      </c>
    </row>
    <row r="16" spans="1:6" x14ac:dyDescent="0.25">
      <c r="A16" s="4"/>
      <c r="B16" s="9" t="s">
        <v>128</v>
      </c>
      <c r="C16" s="8" t="s">
        <v>72</v>
      </c>
      <c r="D16" s="31">
        <f>2249.6645</f>
        <v>2249.6644999999999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>
        <f>2012.98474</f>
        <v>2012.9847400000001</v>
      </c>
    </row>
    <row r="26" spans="1:4" x14ac:dyDescent="0.25">
      <c r="A26" s="4"/>
      <c r="B26" s="9" t="s">
        <v>58</v>
      </c>
      <c r="C26" s="8" t="s">
        <v>75</v>
      </c>
      <c r="D26" s="31">
        <f>60.603</f>
        <v>60.603000000000002</v>
      </c>
    </row>
    <row r="27" spans="1:4" x14ac:dyDescent="0.25">
      <c r="A27" s="4"/>
      <c r="B27" s="9" t="s">
        <v>129</v>
      </c>
      <c r="C27" s="8" t="s">
        <v>72</v>
      </c>
      <c r="D27" s="31">
        <f>D25/D26</f>
        <v>33.215925614243517</v>
      </c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4143.68214</f>
        <v>4143.6821399999999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3.9387602599553051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1052.027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3479.85062</f>
        <v>3479.8506200000002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11.16341</f>
        <v>11.163410000000001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26485.04931+8918.21226</f>
        <v>35403.261570000002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629.8686</f>
        <v>629.86860000000001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2797.5+40.43364</f>
        <v>2837.9336400000002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17198.28045-551.24553</f>
        <v>16647.034919999998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1601.3698199999999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2440.589</f>
        <v>2440.5889999999999</v>
      </c>
    </row>
    <row r="48" spans="1:4" s="20" customFormat="1" ht="30" x14ac:dyDescent="0.25">
      <c r="A48" s="4"/>
      <c r="B48" s="5" t="s">
        <v>138</v>
      </c>
      <c r="C48" s="8" t="s">
        <v>72</v>
      </c>
      <c r="D48" s="31">
        <f>2440.589</f>
        <v>2440.5889999999999</v>
      </c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534.58469000000002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21942.298540000014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-37025.716770000014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19.181000000000001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46.186999999999998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33.6407</f>
        <v>33.640700000000002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11.872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12.089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58.2</f>
        <v>58.2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198.12899999999999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0.82499999999999996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47" sqref="D47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123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45337.142690000001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45337.14269</f>
        <v>45337.142690000001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63865.177989999996</v>
      </c>
      <c r="F9" s="23">
        <v>63865.177989999996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24722.48962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24722.48962</f>
        <v>24722.48962</v>
      </c>
    </row>
    <row r="14" spans="1:6" x14ac:dyDescent="0.25">
      <c r="A14" s="4"/>
      <c r="B14" s="9" t="s">
        <v>58</v>
      </c>
      <c r="C14" s="8" t="s">
        <v>75</v>
      </c>
      <c r="D14" s="31">
        <f>2727.948</f>
        <v>2727.9479999999999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9.0626689438361741</v>
      </c>
    </row>
    <row r="16" spans="1:6" x14ac:dyDescent="0.25">
      <c r="A16" s="4"/>
      <c r="B16" s="9" t="s">
        <v>128</v>
      </c>
      <c r="C16" s="8" t="s">
        <v>72</v>
      </c>
      <c r="D16" s="31">
        <f>2537.08682</f>
        <v>2537.08682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v>2411.6307000000002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2.2352659789915847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1078.9010000000001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2762.68384</f>
        <v>2762.6838400000001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1.45713</f>
        <v>1.45713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12540.64232+4200.34267</f>
        <v>16740.984990000001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67.27176</f>
        <v>67.27176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/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6281.89882-452.78351</f>
        <v>5829.1153100000001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751.57983000000002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825.85041000000001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9752.1143999999877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-18528.035299999996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35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16.206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13.5322</f>
        <v>13.5322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3.823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4.8479999999999999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27.3</f>
        <v>27.3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229.78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2.5390000000000001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9" sqref="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10" hidden="1" customWidth="1"/>
  </cols>
  <sheetData>
    <row r="1" spans="1:6" ht="18.75" customHeight="1" x14ac:dyDescent="0.3">
      <c r="A1" s="36" t="s">
        <v>0</v>
      </c>
      <c r="B1" s="36"/>
      <c r="C1" s="36"/>
      <c r="D1" s="36"/>
    </row>
    <row r="2" spans="1:6" ht="15.75" x14ac:dyDescent="0.25">
      <c r="A2" s="7"/>
      <c r="B2" s="7"/>
      <c r="C2" s="7"/>
      <c r="D2" s="7"/>
    </row>
    <row r="3" spans="1:6" ht="15.75" customHeight="1" x14ac:dyDescent="0.25">
      <c r="A3" s="37" t="s">
        <v>103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206436.89986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v>206436.89986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206490.14855000001</v>
      </c>
      <c r="F9" s="24">
        <v>206490.14855000001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99693.696609999999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99693.69661</f>
        <v>99693.696609999999</v>
      </c>
    </row>
    <row r="14" spans="1:6" x14ac:dyDescent="0.25">
      <c r="A14" s="4"/>
      <c r="B14" s="9" t="s">
        <v>58</v>
      </c>
      <c r="C14" s="8" t="s">
        <v>75</v>
      </c>
      <c r="D14" s="31">
        <f>10940.897</f>
        <v>10940.897000000001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9.1120222235891628</v>
      </c>
    </row>
    <row r="16" spans="1:6" x14ac:dyDescent="0.25">
      <c r="A16" s="4"/>
      <c r="B16" s="9" t="s">
        <v>128</v>
      </c>
      <c r="C16" s="8" t="s">
        <v>72</v>
      </c>
      <c r="D16" s="31">
        <v>3064.4484499999999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8544.44214</f>
        <v>8544.4421399999992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3.3329362959981088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f>2563.638</f>
        <v>2563.6379999999999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860.89173</f>
        <v>860.89173000000005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27.67222</f>
        <v>27.672219999999999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21540.34836+7079.67299</f>
        <v>28620.021349999999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v>0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7590.192+53.8236</f>
        <v>7644.0155999999997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23251.53925-844.27637</f>
        <v>22407.262880000002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4476.5733899999996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13659.02563</f>
        <v>13659.02563</v>
      </c>
    </row>
    <row r="48" spans="1:4" s="20" customFormat="1" ht="30" x14ac:dyDescent="0.25">
      <c r="A48" s="4"/>
      <c r="B48" s="5" t="s">
        <v>133</v>
      </c>
      <c r="C48" s="8" t="s">
        <v>72</v>
      </c>
      <c r="D48" s="31">
        <v>579.48500000000001</v>
      </c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790.45276999999999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19766.094230000024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3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-53.248690000007628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62.72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86.643000000000001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v>74.584100000000007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7.3120500000000002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7.657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v>45.5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173.98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6">
        <v>0.40600000000000003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3" sqref="D43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126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213472.12872000001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213472.12872</f>
        <v>213472.12872000001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135248.03831</v>
      </c>
      <c r="F9" s="23">
        <v>135248.03831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113873.89576999999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97325.88994</f>
        <v>97325.889939999994</v>
      </c>
    </row>
    <row r="14" spans="1:6" x14ac:dyDescent="0.25">
      <c r="A14" s="4"/>
      <c r="B14" s="9" t="s">
        <v>58</v>
      </c>
      <c r="C14" s="8" t="s">
        <v>75</v>
      </c>
      <c r="D14" s="31">
        <f>10682.686</f>
        <v>10682.686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9.1106197392678201</v>
      </c>
    </row>
    <row r="16" spans="1:6" x14ac:dyDescent="0.25">
      <c r="A16" s="4"/>
      <c r="B16" s="9" t="s">
        <v>128</v>
      </c>
      <c r="C16" s="8" t="s">
        <v>72</v>
      </c>
      <c r="D16" s="31"/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>
        <f>16548.00583</f>
        <v>16548.005829999998</v>
      </c>
    </row>
    <row r="20" spans="1:4" x14ac:dyDescent="0.25">
      <c r="A20" s="4"/>
      <c r="B20" s="9" t="s">
        <v>58</v>
      </c>
      <c r="C20" s="8" t="s">
        <v>75</v>
      </c>
      <c r="D20" s="31">
        <f>4906.21</f>
        <v>4906.21</v>
      </c>
    </row>
    <row r="21" spans="1:4" x14ac:dyDescent="0.25">
      <c r="A21" s="4"/>
      <c r="B21" s="9" t="s">
        <v>129</v>
      </c>
      <c r="C21" s="8" t="s">
        <v>72</v>
      </c>
      <c r="D21" s="31">
        <f>D19/D20</f>
        <v>3.3728694511649517</v>
      </c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12861.08488</f>
        <v>12861.08488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3.1038537344223096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4143.5860000000002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1713.65186</f>
        <v>1713.6518599999999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/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v>0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/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892.07697-358.80106</f>
        <v>533.27590999999995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1795.49945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358.80106000000001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4111.8293800000147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78224.090410000004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58.03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96.945999999999998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67.1074</f>
        <v>67.107399999999998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8.8680000000000003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15.781000000000001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/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190.28899999999999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1.2190000000000001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122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10701.3145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10701.3145</f>
        <v>10701.3145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59917.259439999994</v>
      </c>
      <c r="F9" s="23">
        <v>59917.259440000002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19919.264729999999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19919.26473</f>
        <v>19919.264729999999</v>
      </c>
    </row>
    <row r="14" spans="1:6" x14ac:dyDescent="0.25">
      <c r="A14" s="4"/>
      <c r="B14" s="9" t="s">
        <v>58</v>
      </c>
      <c r="C14" s="8" t="s">
        <v>75</v>
      </c>
      <c r="D14" s="31">
        <f>2178.252</f>
        <v>2178.252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9.1446098660761006</v>
      </c>
    </row>
    <row r="16" spans="1:6" x14ac:dyDescent="0.25">
      <c r="A16" s="4"/>
      <c r="B16" s="9" t="s">
        <v>128</v>
      </c>
      <c r="C16" s="8" t="s">
        <v>72</v>
      </c>
      <c r="D16" s="31">
        <f>393.98115</f>
        <v>393.98115000000001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2875.94109</f>
        <v>2875.9410899999998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4.3428261716508514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662.22799999999995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2064.09255</f>
        <v>2064.0925499999998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1.41528</f>
        <v>1.4152800000000001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15932.21567+5154.489</f>
        <v>21086.704669999999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v>0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/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6123.75702-318.86726</f>
        <v>5804.88976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98.365589999999997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/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428.52094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7638.0648299999984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-49215.944939999994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47.12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9.4499999999999993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6.3658</f>
        <v>6.3658000000000001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3.6342400000000001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2.6389999999999998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28.9</f>
        <v>28.9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314.70999999999998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3.24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121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209352.23288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207708.41515+1643.81773</f>
        <v>209352.23288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210904.19672000001</v>
      </c>
      <c r="F9" s="23">
        <f>209180.40463+1723.79209</f>
        <v>210904.19672000001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125071.11898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125071.11898</f>
        <v>125071.11898</v>
      </c>
    </row>
    <row r="14" spans="1:6" x14ac:dyDescent="0.25">
      <c r="A14" s="4"/>
      <c r="B14" s="9" t="s">
        <v>58</v>
      </c>
      <c r="C14" s="8" t="s">
        <v>75</v>
      </c>
      <c r="D14" s="31">
        <f>13811.79</f>
        <v>13811.79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9.0553881126197258</v>
      </c>
    </row>
    <row r="16" spans="1:6" x14ac:dyDescent="0.25">
      <c r="A16" s="4"/>
      <c r="B16" s="9" t="s">
        <v>128</v>
      </c>
      <c r="C16" s="8" t="s">
        <v>72</v>
      </c>
      <c r="D16" s="31">
        <f>456.6102</f>
        <v>456.61020000000002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11800.81062</f>
        <v>11800.81062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2.4283392041603236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4859.6220000000003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6461.16328</f>
        <v>6461.1632799999998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24.83437</f>
        <v>24.83437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18817.77875+6236.14948</f>
        <v>25053.928230000001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6436.4406</f>
        <v>6436.4405999999999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/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8966.67834-3760.51672</f>
        <v>5206.1616200000008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4448.1561899999997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5220.37664</f>
        <v>5220.3766400000004</v>
      </c>
    </row>
    <row r="48" spans="1:4" s="20" customFormat="1" ht="45" x14ac:dyDescent="0.25">
      <c r="A48" s="4"/>
      <c r="B48" s="5" t="s">
        <v>139</v>
      </c>
      <c r="C48" s="8" t="s">
        <v>72</v>
      </c>
      <c r="D48" s="31">
        <v>4471.6186399999997</v>
      </c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3760.5167200000001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17420.689469999998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D54</f>
        <v>730.9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730.9</f>
        <v>730.9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-1551.9638400000113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74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93.653000000000006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71.5394+0.599</f>
        <v>72.138400000000004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13.888389999999999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14.439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37.6</f>
        <v>37.6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201.4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0.96799999999999997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9" sqref="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124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5973.6025200000004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5973.60252</f>
        <v>5973.6025200000004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10130.227840000001</v>
      </c>
      <c r="F9" s="23">
        <v>10130.22784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1657.0918200000001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/>
    </row>
    <row r="14" spans="1:6" x14ac:dyDescent="0.25">
      <c r="A14" s="4"/>
      <c r="B14" s="9" t="s">
        <v>58</v>
      </c>
      <c r="C14" s="8" t="s">
        <v>75</v>
      </c>
      <c r="D14" s="31"/>
    </row>
    <row r="15" spans="1:6" x14ac:dyDescent="0.25">
      <c r="A15" s="4"/>
      <c r="B15" s="9" t="s">
        <v>129</v>
      </c>
      <c r="C15" s="8" t="s">
        <v>72</v>
      </c>
      <c r="D15" s="31"/>
    </row>
    <row r="16" spans="1:6" x14ac:dyDescent="0.25">
      <c r="A16" s="4"/>
      <c r="B16" s="9" t="s">
        <v>128</v>
      </c>
      <c r="C16" s="8" t="s">
        <v>72</v>
      </c>
      <c r="D16" s="31"/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>
        <f>1657.09182</f>
        <v>1657.0918200000001</v>
      </c>
    </row>
    <row r="20" spans="1:4" x14ac:dyDescent="0.25">
      <c r="A20" s="4"/>
      <c r="B20" s="9" t="s">
        <v>58</v>
      </c>
      <c r="C20" s="8" t="s">
        <v>75</v>
      </c>
      <c r="D20" s="31">
        <f>491.53</f>
        <v>491.53</v>
      </c>
    </row>
    <row r="21" spans="1:4" x14ac:dyDescent="0.25">
      <c r="A21" s="4"/>
      <c r="B21" s="9" t="s">
        <v>129</v>
      </c>
      <c r="C21" s="8" t="s">
        <v>72</v>
      </c>
      <c r="D21" s="31">
        <f>D19/D20</f>
        <v>3.3712933493377824</v>
      </c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331.14726</f>
        <v>331.14726000000002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3.8350310371983141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86.347999999999999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14.03871</f>
        <v>14.03871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2480.24129+860.55601</f>
        <v>3340.7973000000002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1559.99815</f>
        <v>1559.9981499999999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/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1286.65742-454.6827</f>
        <v>831.97471999999993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731.71678999999995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96.905</f>
        <v>96.905000000000001</v>
      </c>
    </row>
    <row r="48" spans="1:4" s="20" customFormat="1" ht="30" x14ac:dyDescent="0.25">
      <c r="A48" s="4"/>
      <c r="B48" s="5" t="s">
        <v>140</v>
      </c>
      <c r="C48" s="8" t="s">
        <v>72</v>
      </c>
      <c r="D48" s="31">
        <v>96.905000000000001</v>
      </c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454.68270000000001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1111.8753900000006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-4156.625320000001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1.72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1.708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2.002</f>
        <v>2.0019999999999998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3.6400000000000002E-2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3.6999999999999998E-2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5.9</f>
        <v>5.9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217.05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6">
        <v>0.14000000000000001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0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127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8704.6920200000004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8704.69202</f>
        <v>8704.6920200000004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15357.74179</v>
      </c>
      <c r="F9" s="23">
        <v>15357.74179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4735.6364800000001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4735.63648</f>
        <v>4735.6364800000001</v>
      </c>
    </row>
    <row r="14" spans="1:6" x14ac:dyDescent="0.25">
      <c r="A14" s="4"/>
      <c r="B14" s="9" t="s">
        <v>58</v>
      </c>
      <c r="C14" s="8" t="s">
        <v>75</v>
      </c>
      <c r="D14" s="31">
        <f>525.522</f>
        <v>525.52200000000005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9.0113001548936094</v>
      </c>
    </row>
    <row r="16" spans="1:6" x14ac:dyDescent="0.25">
      <c r="A16" s="4"/>
      <c r="B16" s="9" t="s">
        <v>128</v>
      </c>
      <c r="C16" s="8" t="s">
        <v>72</v>
      </c>
      <c r="D16" s="31">
        <f>289.06435</f>
        <v>289.06434999999999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992.11298</f>
        <v>992.11297999999999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3.8408734669226963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258.30399999999997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624.92029</f>
        <v>624.92029000000002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3764.35471+1274.81076</f>
        <v>5039.1654699999999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621.96088</f>
        <v>621.96087999999997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/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1250.7305-336.37954</f>
        <v>914.35095999999987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285.67693000000003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D48+D49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336.37954000000002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1807.5382599999994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D54</f>
        <v>6807.8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6807.8</f>
        <v>6807.8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-6653.0497699999996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2.48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2.9279999999999999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3.3285</f>
        <v>3.3285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0.77100000000000002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0.68799999999999994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8.3</f>
        <v>8.3000000000000007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247.35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3.37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I57" sqref="I57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11.42578125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8" t="s">
        <v>4</v>
      </c>
      <c r="B3" s="38"/>
      <c r="C3" s="38"/>
      <c r="D3" s="38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7196046.1768600009</v>
      </c>
      <c r="F6" s="23">
        <v>7196046.1768650003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г.Мурманск!D7+г.п.Кола!D7+г.п.Молочный!D7+г.п.Мурмаши!D7+г.п.Верхнетуломский!D7+'г.п.Кильдинстрой-Шонгуй'!D7+с.п.Ловозеро!D7+г.п.Ревда!D7+н.п.Высокий!D7+г.Гаджиево!D7+'ЗАТО г.Североморск'!D7+г.п.Никель!D7+г.Полярный!D7+г.Снежногорск!D7+с.п.Териберка!D7+г.Кандалакша!D7+с.п.Умба!D7+с.п.Зеленоборский!D7+с.п.Ёнский!D7+Росляково!D7+'с.п.Белое море'!D7+'Нива-3'!D7+Лопарская!D7+'Ура-Губа'!D7</f>
        <v>7196046.1768600009</v>
      </c>
    </row>
    <row r="8" spans="1:6" x14ac:dyDescent="0.25">
      <c r="A8" s="4" t="s">
        <v>7</v>
      </c>
      <c r="B8" s="5" t="s">
        <v>5</v>
      </c>
      <c r="C8" s="8" t="s">
        <v>72</v>
      </c>
      <c r="D8" s="31">
        <f>г.Мурманск!D8+г.п.Кола!D8+г.п.Молочный!D8+г.п.Мурмаши!D8+г.п.Верхнетуломский!D8+'г.п.Кильдинстрой-Шонгуй'!D8+с.п.Ловозеро!D8+г.п.Ревда!D8+н.п.Высокий!D8+г.Гаджиево!D8+'ЗАТО г.Североморск'!D8+г.п.Никель!D8+г.Полярный!D8+г.Снежногорск!D8+с.п.Териберка!D8+г.Кандалакша!D8+с.п.Умба!D8+с.п.Зеленоборский!D8+с.п.Ёнский!D8+Росляково!D8+'с.п.Белое море'!D8+'Нива-3'!D8+Лопарская!D8+'Ура-Губа'!D8</f>
        <v>0</v>
      </c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г.Мурманск!D9+г.п.Кола!D9+г.п.Молочный!D9+г.п.Мурмаши!D9+г.п.Верхнетуломский!D9+'г.п.Кильдинстрой-Шонгуй'!D9+с.п.Ловозеро!D9+г.п.Ревда!D9+н.п.Высокий!D9+г.Гаджиево!D9+'ЗАТО г.Североморск'!D9+г.п.Никель!D9+г.Полярный!D9+г.Снежногорск!D9+с.п.Териберка!D9+г.Кандалакша!D9+с.п.Умба!D9+с.п.Зеленоборский!D9+с.п.Ёнский!D9+Росляково!D9+'с.п.Белое море'!D9+'Нива-3'!D9+Лопарская!D9+'Ура-Губа'!D9</f>
        <v>6610895.8461000007</v>
      </c>
      <c r="F9" s="23">
        <v>6610895.8460999997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3464065.3823299999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г.Мурманск!D13+г.п.Кола!D13+г.п.Молочный!D13+г.п.Мурмаши!D13+г.п.Верхнетуломский!D13+'г.п.Кильдинстрой-Шонгуй'!D13+с.п.Ловозеро!D13+г.п.Ревда!D13+н.п.Высокий!D13+г.Гаджиево!D13+'ЗАТО г.Североморск'!D13+г.п.Никель!D13+г.Полярный!D13+г.Снежногорск!D13+с.п.Териберка!D13+г.Кандалакша!D13+с.п.Умба!D13+с.п.Зеленоборский!D13+с.п.Ёнский!D13+Росляково!D13+'с.п.Белое море'!D13+'Нива-3'!D13+Лопарская!D13+'Ура-Губа'!D13</f>
        <v>3409957.99101</v>
      </c>
    </row>
    <row r="14" spans="1:6" x14ac:dyDescent="0.25">
      <c r="A14" s="4"/>
      <c r="B14" s="9" t="s">
        <v>58</v>
      </c>
      <c r="C14" s="8" t="s">
        <v>75</v>
      </c>
      <c r="D14" s="31">
        <f>г.Мурманск!D14+г.п.Кола!D14+г.п.Молочный!D14+г.п.Мурмаши!D14+г.п.Верхнетуломский!D14+'г.п.Кильдинстрой-Шонгуй'!D14+с.п.Ловозеро!D14+г.п.Ревда!D14+н.п.Высокий!D14+г.Гаджиево!D14+'ЗАТО г.Североморск'!D14+г.п.Никель!D14+г.Полярный!D14+г.Снежногорск!D14+с.п.Териберка!D14+г.Кандалакша!D14+с.п.Умба!D14+с.п.Зеленоборский!D14+с.п.Ёнский!D14+Росляково!D14+'с.п.Белое море'!D14+'Нива-3'!D14+Лопарская!D14+'Ура-Губа'!D14</f>
        <v>376354.36799999996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9.0604979799517036</v>
      </c>
    </row>
    <row r="16" spans="1:6" x14ac:dyDescent="0.25">
      <c r="A16" s="4"/>
      <c r="B16" s="9" t="s">
        <v>128</v>
      </c>
      <c r="C16" s="8" t="s">
        <v>72</v>
      </c>
      <c r="D16" s="31">
        <f>г.Мурманск!D16+г.п.Кола!D16+г.п.Молочный!D16+г.п.Мурмаши!D16+г.п.Верхнетуломский!D16+'г.п.Кильдинстрой-Шонгуй'!D16+с.п.Ловозеро!D16+г.п.Ревда!D16+н.п.Высокий!D16+г.Гаджиево!D16+'ЗАТО г.Североморск'!D16+г.п.Никель!D16+г.Полярный!D16+г.Снежногорск!D16+с.п.Териберка!D16+г.Кандалакша!D16+с.п.Умба!D16+с.п.Зеленоборский!D16+с.п.Ёнский!D16+Росляково!D16+'с.п.Белое море'!D16+'Нива-3'!D16+Лопарская!D16+'Ура-Губа'!D16</f>
        <v>46717.830189999993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>
        <f>г.Мурманск!D19+г.п.Кола!D19+г.п.Молочный!D19+г.п.Мурмаши!D19+г.п.Верхнетуломский!D19+'г.п.Кильдинстрой-Шонгуй'!D19+с.п.Ловозеро!D19+г.п.Ревда!D19+н.п.Высокий!D19+г.Гаджиево!D19+'ЗАТО г.Североморск'!D19+г.п.Никель!D19+г.Полярный!D19+г.Снежногорск!D19+с.п.Териберка!D19+г.Кандалакша!D19+с.п.Умба!D19+с.п.Зеленоборский!D19+с.п.Ёнский!D19+Росляково!D19+'с.п.Белое море'!D19+'Нива-3'!D19+Лопарская!D19+'Ура-Губа'!D19</f>
        <v>25452.607840000001</v>
      </c>
    </row>
    <row r="20" spans="1:4" x14ac:dyDescent="0.25">
      <c r="A20" s="4"/>
      <c r="B20" s="9" t="s">
        <v>58</v>
      </c>
      <c r="C20" s="8" t="s">
        <v>75</v>
      </c>
      <c r="D20" s="31">
        <f>г.Мурманск!D20+г.п.Кола!D20+г.п.Молочный!D20+г.п.Мурмаши!D20+г.п.Верхнетуломский!D20+'г.п.Кильдинстрой-Шонгуй'!D20+с.п.Ловозеро!D20+г.п.Ревда!D20+н.п.Высокий!D20+г.Гаджиево!D20+'ЗАТО г.Североморск'!D20+г.п.Никель!D20+г.Полярный!D20+г.Снежногорск!D20+с.п.Териберка!D20+г.Кандалакша!D20+с.п.Умба!D20+с.п.Зеленоборский!D20+с.п.Ёнский!D20+Росляково!D20+'с.п.Белое море'!D20+'Нива-3'!D20+Лопарская!D20+'Ура-Губа'!D20</f>
        <v>7547.6729999999998</v>
      </c>
    </row>
    <row r="21" spans="1:4" x14ac:dyDescent="0.25">
      <c r="A21" s="4"/>
      <c r="B21" s="9" t="s">
        <v>129</v>
      </c>
      <c r="C21" s="8" t="s">
        <v>72</v>
      </c>
      <c r="D21" s="31">
        <f>D19/D20</f>
        <v>3.3722457027483839</v>
      </c>
    </row>
    <row r="22" spans="1:4" x14ac:dyDescent="0.25">
      <c r="A22" s="4"/>
      <c r="B22" s="9" t="s">
        <v>128</v>
      </c>
      <c r="C22" s="8" t="s">
        <v>72</v>
      </c>
      <c r="D22" s="31">
        <f>г.Мурманск!D22+г.п.Кола!D22+г.п.Молочный!D22+г.п.Мурмаши!D22+г.п.Верхнетуломский!D22+'г.п.Кильдинстрой-Шонгуй'!D22+с.п.Ловозеро!D22+г.п.Ревда!D22+н.п.Высокий!D22+г.Гаджиево!D22+'ЗАТО г.Североморск'!D22+г.п.Никель!D22+г.Полярный!D22+г.Снежногорск!D22+с.п.Териберка!D22+г.Кандалакша!D22+с.п.Умба!D22+с.п.Зеленоборский!D22+с.п.Ёнский!D22+Росляково!D22+'с.п.Белое море'!D22+'Нива-3'!D22+Лопарская!D22+'Ура-Губа'!D22</f>
        <v>0</v>
      </c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>
        <f>г.Мурманск!D25+г.п.Кола!D25+г.п.Молочный!D25+г.п.Мурмаши!D25+г.п.Верхнетуломский!D25+'г.п.Кильдинстрой-Шонгуй'!D25+с.п.Ловозеро!D25+г.п.Ревда!D25+н.п.Высокий!D25+г.Гаджиево!D25+'ЗАТО г.Североморск'!D25+г.п.Никель!D25+г.Полярный!D25+г.Снежногорск!D25+с.п.Териберка!D25+г.Кандалакша!D25+с.п.Умба!D25+с.п.Зеленоборский!D25+с.п.Ёнский!D25+Росляково!D25+'с.п.Белое море'!D25+'Нива-3'!D25+Лопарская!D25+'Ура-Губа'!D25</f>
        <v>8883.6081000000013</v>
      </c>
    </row>
    <row r="26" spans="1:4" x14ac:dyDescent="0.25">
      <c r="A26" s="4"/>
      <c r="B26" s="9" t="s">
        <v>58</v>
      </c>
      <c r="C26" s="8" t="s">
        <v>75</v>
      </c>
      <c r="D26" s="31">
        <f>г.Мурманск!D26+г.п.Кола!D26+г.п.Молочный!D26+г.п.Мурмаши!D26+г.п.Верхнетуломский!D26+'г.п.Кильдинстрой-Шонгуй'!D26+с.п.Ловозеро!D26+г.п.Ревда!D26+н.п.Высокий!D26+г.Гаджиево!D26+'ЗАТО г.Североморск'!D26+г.п.Никель!D26+г.Полярный!D26+г.Снежногорск!D26+с.п.Териберка!D26+г.Кандалакша!D26+с.п.Умба!D26+с.п.Зеленоборский!D26+с.п.Ёнский!D26+Росляково!D26+'с.п.Белое море'!D26+'Нива-3'!D26+Лопарская!D26+'Ура-Губа'!D26</f>
        <v>270.06700000000001</v>
      </c>
    </row>
    <row r="27" spans="1:4" x14ac:dyDescent="0.25">
      <c r="A27" s="4"/>
      <c r="B27" s="9" t="s">
        <v>129</v>
      </c>
      <c r="C27" s="8" t="s">
        <v>72</v>
      </c>
      <c r="D27" s="31">
        <f>D25/D26</f>
        <v>32.894089614799292</v>
      </c>
    </row>
    <row r="28" spans="1:4" x14ac:dyDescent="0.25">
      <c r="A28" s="4"/>
      <c r="B28" s="9" t="s">
        <v>128</v>
      </c>
      <c r="C28" s="8" t="s">
        <v>72</v>
      </c>
      <c r="D28" s="31">
        <f>г.Мурманск!D28+г.п.Кола!D28+г.п.Молочный!D28+г.п.Мурмаши!D28+г.п.Верхнетуломский!D28+'г.п.Кильдинстрой-Шонгуй'!D28+с.п.Ловозеро!D28+г.п.Ревда!D28+н.п.Высокий!D28+г.Гаджиево!D28+'ЗАТО г.Североморск'!D28+г.п.Никель!D28+г.Полярный!D28+г.Снежногорск!D28+с.п.Териберка!D28+г.Кандалакша!D28+с.п.Умба!D28+с.п.Зеленоборский!D28+с.п.Ёнский!D28+Росляково!D28+'с.п.Белое море'!D28+'Нива-3'!D28+Лопарская!D28+'Ура-Губа'!D28</f>
        <v>0</v>
      </c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>
        <f>г.Мурманск!D31+г.п.Кола!D31+г.п.Молочный!D31+г.п.Мурмаши!D31+г.п.Верхнетуломский!D31+'г.п.Кильдинстрой-Шонгуй'!D31+с.п.Ловозеро!D31+г.п.Ревда!D31+н.п.Высокий!D31+г.Гаджиево!D31+'ЗАТО г.Североморск'!D31+г.п.Никель!D31+г.Полярный!D31+г.Снежногорск!D31+с.п.Териберка!D31+г.Кандалакша!D31+с.п.Умба!D31+с.п.Зеленоборский!D31+с.п.Ёнский!D31+Росляково!D31+'с.п.Белое море'!D31+'Нива-3'!D31+Лопарская!D31+'Ура-Губа'!D31</f>
        <v>19771.175380000001</v>
      </c>
    </row>
    <row r="32" spans="1:4" x14ac:dyDescent="0.25">
      <c r="A32" s="4"/>
      <c r="B32" s="9" t="s">
        <v>58</v>
      </c>
      <c r="C32" s="8" t="s">
        <v>75</v>
      </c>
      <c r="D32" s="31">
        <f>г.Мурманск!D32+г.п.Кола!D32+г.п.Молочный!D32+г.п.Мурмаши!D32+г.п.Верхнетуломский!D32+'г.п.Кильдинстрой-Шонгуй'!D32+с.п.Ловозеро!D32+г.п.Ревда!D32+н.п.Высокий!D32+г.Гаджиево!D32+'ЗАТО г.Североморск'!D32+г.п.Никель!D32+г.Полярный!D32+г.Снежногорск!D32+с.п.Териберка!D32+г.Кандалакша!D32+с.п.Умба!D32+с.п.Зеленоборский!D32+с.п.Ёнский!D32+Росляково!D32+'с.п.Белое море'!D32+'Нива-3'!D32+Лопарская!D32+'Ура-Губа'!D32</f>
        <v>1489.385</v>
      </c>
    </row>
    <row r="33" spans="1:4" x14ac:dyDescent="0.25">
      <c r="A33" s="4"/>
      <c r="B33" s="9" t="s">
        <v>129</v>
      </c>
      <c r="C33" s="8" t="s">
        <v>72</v>
      </c>
      <c r="D33" s="31">
        <f>D31/D32</f>
        <v>13.274724386239958</v>
      </c>
    </row>
    <row r="34" spans="1:4" x14ac:dyDescent="0.25">
      <c r="A34" s="4"/>
      <c r="B34" s="9" t="s">
        <v>128</v>
      </c>
      <c r="C34" s="8" t="s">
        <v>72</v>
      </c>
      <c r="D34" s="31">
        <f>г.Мурманск!D34+г.п.Кола!D34+г.п.Молочный!D34+г.п.Мурмаши!D34+г.п.Верхнетуломский!D34+'г.п.Кильдинстрой-Шонгуй'!D34+с.п.Ловозеро!D34+г.п.Ревда!D34+н.п.Высокий!D34+г.Гаджиево!D34+'ЗАТО г.Североморск'!D34+г.п.Никель!D34+г.Полярный!D34+г.Снежногорск!D34+с.п.Териберка!D34+г.Кандалакша!D34+с.п.Умба!D34+с.п.Зеленоборский!D34+с.п.Ёнский!D34+Росляково!D34+'с.п.Белое море'!D34+'Нива-3'!D34+Лопарская!D34+'Ура-Губа'!D34</f>
        <v>0</v>
      </c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г.Мурманск!D36+г.п.Кола!D36+г.п.Молочный!D36+г.п.Мурмаши!D36+г.п.Верхнетуломский!D36+'г.п.Кильдинстрой-Шонгуй'!D36+с.п.Ловозеро!D36+г.п.Ревда!D36+н.п.Высокий!D36+г.Гаджиево!D36+'ЗАТО г.Североморск'!D36+г.п.Никель!D36+г.Полярный!D36+г.Снежногорск!D36+с.п.Териберка!D36+г.Кандалакша!D36+с.п.Умба!D36+с.п.Зеленоборский!D36+с.п.Ёнский!D36+Росляково!D36+'с.п.Белое море'!D36+'Нива-3'!D36+Лопарская!D36+'Ура-Губа'!D36</f>
        <v>356218.54110999993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3.2480143473100602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f>г.Мурманск!D38+г.п.Кола!D38+г.п.Молочный!D38+г.п.Мурмаши!D38+г.п.Верхнетуломский!D38+'г.п.Кильдинстрой-Шонгуй'!D38+с.п.Ловозеро!D38+г.п.Ревда!D38+н.п.Высокий!D38+г.Гаджиево!D38+'ЗАТО г.Североморск'!D38+г.п.Никель!D38+г.Полярный!D38+г.Снежногорск!D38+с.п.Териберка!D38+г.Кандалакша!D38+с.п.Умба!D38+с.п.Зеленоборский!D38+с.п.Ёнский!D38+Росляково!D38+'с.п.Белое море'!D38+'Нива-3'!D38+Лопарская!D38+'Ура-Губа'!D38</f>
        <v>109672.71170000001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г.Мурманск!D39+г.п.Кола!D39+г.п.Молочный!D39+г.п.Мурмаши!D39+г.п.Верхнетуломский!D39+'г.п.Кильдинстрой-Шонгуй'!D39+с.п.Ловозеро!D39+г.п.Ревда!D39+н.п.Высокий!D39+г.Гаджиево!D39+'ЗАТО г.Североморск'!D39+г.п.Никель!D39+г.Полярный!D39+г.Снежногорск!D39+с.п.Териберка!D39+г.Кандалакша!D39+с.п.Умба!D39+с.п.Зеленоборский!D39+с.п.Ёнский!D39+Росляково!D39+'с.п.Белое море'!D39+'Нива-3'!D39+Лопарская!D39+'Ура-Губа'!D39</f>
        <v>80201.328239999973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г.Мурманск!D40+г.п.Кола!D40+г.п.Молочный!D40+г.п.Мурмаши!D40+г.п.Верхнетуломский!D40+'г.п.Кильдинстрой-Шонгуй'!D40+с.п.Ловозеро!D40+г.п.Ревда!D40+н.п.Высокий!D40+г.Гаджиево!D40+'ЗАТО г.Североморск'!D40+г.п.Никель!D40+г.Полярный!D40+г.Снежногорск!D40+с.п.Териберка!D40+г.Кандалакша!D40+с.п.Умба!D40+с.п.Зеленоборский!D40+с.п.Ёнский!D40+Росляково!D40+'с.п.Белое море'!D40+'Нива-3'!D40+Лопарская!D40+'Ура-Губа'!D40</f>
        <v>1738.5539799999999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г.Мурманск!D41+г.п.Кола!D41+г.п.Молочный!D41+г.п.Мурмаши!D41+г.п.Верхнетуломский!D41+'г.п.Кильдинстрой-Шонгуй'!D41+с.п.Ловозеро!D41+г.п.Ревда!D41+н.п.Высокий!D41+г.Гаджиево!D41+'ЗАТО г.Североморск'!D41+г.п.Никель!D41+г.Полярный!D41+г.Снежногорск!D41+с.п.Териберка!D41+г.Кандалакша!D41+с.п.Умба!D41+с.п.Зеленоборский!D41+с.п.Ёнский!D41+Росляково!D41+'с.п.Белое море'!D41+'Нива-3'!D41+Лопарская!D41+'Ура-Губа'!D41</f>
        <v>874837.11621999985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>
        <f>г.Мурманск!D42+г.п.Кола!D42+г.п.Молочный!D42+г.п.Мурмаши!D42+г.п.Верхнетуломский!D42+'г.п.Кильдинстрой-Шонгуй'!D42+с.п.Ловозеро!D42+г.п.Ревда!D42+н.п.Высокий!D42+г.Гаджиево!D42+'ЗАТО г.Североморск'!D42+г.п.Никель!D42+г.Полярный!D42+г.Снежногорск!D42+с.п.Териберка!D42+г.Кандалакша!D42+с.п.Умба!D42+с.п.Зеленоборский!D42+с.п.Ёнский!D42+Росляково!D42+'с.п.Белое море'!D42+'Нива-3'!D42+Лопарская!D42+'Ура-Губа'!D42</f>
        <v>0</v>
      </c>
    </row>
    <row r="43" spans="1:4" x14ac:dyDescent="0.25">
      <c r="A43" s="4" t="s">
        <v>19</v>
      </c>
      <c r="B43" s="3" t="s">
        <v>26</v>
      </c>
      <c r="C43" s="8" t="s">
        <v>72</v>
      </c>
      <c r="D43" s="31">
        <f>г.Мурманск!D43+г.п.Кола!D43+г.п.Молочный!D43+г.п.Мурмаши!D43+г.п.Верхнетуломский!D43+'г.п.Кильдинстрой-Шонгуй'!D43+с.п.Ловозеро!D43+г.п.Ревда!D43+н.п.Высокий!D43+г.Гаджиево!D43+'ЗАТО г.Североморск'!D43+г.п.Никель!D43+г.Полярный!D43+г.Снежногорск!D43+с.п.Териберка!D43+г.Кандалакша!D43+с.п.Умба!D43+с.п.Зеленоборский!D43+с.п.Ёнский!D43+Росляково!D43+'с.п.Белое море'!D43+'Нива-3'!D43+Лопарская!D43+'Ура-Губа'!D43</f>
        <v>11814.110489999999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г.Мурманск!D44+г.п.Кола!D44+г.п.Молочный!D44+г.п.Мурмаши!D44+г.п.Верхнетуломский!D44+'г.п.Кильдинстрой-Шонгуй'!D44+с.п.Ловозеро!D44+г.п.Ревда!D44+н.п.Высокий!D44+г.Гаджиево!D44+'ЗАТО г.Североморск'!D44+г.п.Никель!D44+г.Полярный!D44+г.Снежногорск!D44+с.п.Териберка!D44+г.Кандалакша!D44+с.п.Умба!D44+с.п.Зеленоборский!D44+с.п.Ёнский!D44+Росляково!D44+'с.п.Белое море'!D44+'Нива-3'!D44+Лопарская!D44+'Ура-Губа'!D44</f>
        <v>212320.56352999998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г.Мурманск!D45+г.п.Кола!D45+г.п.Молочный!D45+г.п.Мурмаши!D45+г.п.Верхнетуломский!D45+'г.п.Кильдинстрой-Шонгуй'!D45+с.п.Ловозеро!D45+г.п.Ревда!D45+н.п.Высокий!D45+г.Гаджиево!D45+'ЗАТО г.Североморск'!D45+г.п.Никель!D45+г.Полярный!D45+г.Снежногорск!D45+с.п.Териберка!D45+г.Кандалакша!D45+с.п.Умба!D45+с.п.Зеленоборский!D45+с.п.Ёнский!D45+Росляково!D45+'с.п.Белое море'!D45+'Нива-3'!D45+Лопарская!D45+'Ура-Губа'!D45</f>
        <v>425165.04402000009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f>г.Мурманск!D46+г.п.Кола!D46+г.п.Молочный!D46+г.п.Мурмаши!D46+г.п.Верхнетуломский!D46+'г.п.Кильдинстрой-Шонгуй'!D46+с.п.Ловозеро!D46+г.п.Ревда!D46+н.п.Высокий!D46+г.Гаджиево!D46+'ЗАТО г.Североморск'!D46+г.п.Никель!D46+г.Полярный!D46+г.Снежногорск!D46+с.п.Териберка!D46+г.Кандалакша!D46+с.п.Умба!D46+с.п.Зеленоборский!D46+с.п.Ёнский!D46+Росляково!D46+'с.п.Белое море'!D46+'Нива-3'!D46+Лопарская!D46+'Ура-Губа'!D46</f>
        <v>104728.48230999999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г.Мурманск!D47+г.п.Кола!D47+г.п.Молочный!D47+г.п.Мурмаши!D47+г.п.Верхнетуломский!D47+'г.п.Кильдинстрой-Шонгуй'!D47+с.п.Ловозеро!D47+г.п.Ревда!D47+н.п.Высокий!D47+г.Гаджиево!D47+'ЗАТО г.Североморск'!D47+г.п.Никель!D47+г.Полярный!D47+г.Снежногорск!D47+с.п.Териберка!D47+г.Кандалакша!D47+с.п.Умба!D47+с.п.Зеленоборский!D47+с.п.Ёнский!D47+Росляково!D47+'с.п.Белое море'!D47+'Нива-3'!D47+Лопарская!D47+'Ура-Губа'!D47</f>
        <v>97598.434180000011</v>
      </c>
    </row>
    <row r="48" spans="1:4" s="20" customFormat="1" x14ac:dyDescent="0.25">
      <c r="A48" s="4"/>
      <c r="B48" s="5"/>
      <c r="C48" s="8" t="s">
        <v>72</v>
      </c>
      <c r="D48" s="31"/>
    </row>
    <row r="49" spans="1:6" x14ac:dyDescent="0.25">
      <c r="A49" s="4"/>
      <c r="B49" s="5"/>
      <c r="C49" s="8" t="s">
        <v>72</v>
      </c>
      <c r="D49" s="31"/>
    </row>
    <row r="50" spans="1:6" ht="60" x14ac:dyDescent="0.25">
      <c r="A50" s="4" t="s">
        <v>24</v>
      </c>
      <c r="B50" s="3" t="s">
        <v>35</v>
      </c>
      <c r="C50" s="8" t="s">
        <v>72</v>
      </c>
      <c r="D50" s="31">
        <f>г.Мурманск!D50+г.п.Кола!D50+г.п.Молочный!D50+г.п.Мурмаши!D50+г.п.Верхнетуломский!D50+'г.п.Кильдинстрой-Шонгуй'!D50+с.п.Ловозеро!D50+г.п.Ревда!D50+н.п.Высокий!D50+г.Гаджиево!D50+'ЗАТО г.Североморск'!D50+г.п.Никель!D50+г.Полярный!D50+г.Снежногорск!D50+с.п.Териберка!D50+г.Кандалакша!D50+с.п.Умба!D50+с.п.Зеленоборский!D50+с.п.Ёнский!D50+Росляково!D50+'с.п.Белое море'!D50+'Нива-3'!D50+Лопарская!D50+'Ура-Губа'!D50</f>
        <v>59458.349119999999</v>
      </c>
    </row>
    <row r="51" spans="1:6" ht="45" x14ac:dyDescent="0.25">
      <c r="A51" s="4" t="s">
        <v>25</v>
      </c>
      <c r="B51" s="3" t="s">
        <v>36</v>
      </c>
      <c r="C51" s="8" t="s">
        <v>72</v>
      </c>
      <c r="D51" s="31">
        <f>г.Мурманск!D51+г.п.Кола!D51+г.п.Молочный!D51+г.п.Мурмаши!D51+г.п.Верхнетуломский!D51+'г.п.Кильдинстрой-Шонгуй'!D51+с.п.Ловозеро!D51+г.п.Ревда!D51+н.п.Высокий!D51+г.Гаджиево!D51+'ЗАТО г.Североморск'!D51+г.п.Никель!D51+г.Полярный!D51+г.Снежногорск!D51+с.п.Териберка!D51+г.Кандалакша!D51+с.п.Умба!D51+с.п.Зеленоборский!D51+с.п.Ёнский!D51+Росляково!D51+'с.п.Белое море'!D51+'Нива-3'!D51+Лопарская!D51+'Ура-Губа'!D51</f>
        <v>922749.94056999998</v>
      </c>
    </row>
    <row r="52" spans="1:6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6" ht="45" x14ac:dyDescent="0.25">
      <c r="A53" s="4" t="s">
        <v>38</v>
      </c>
      <c r="B53" s="3" t="s">
        <v>79</v>
      </c>
      <c r="C53" s="8" t="s">
        <v>72</v>
      </c>
      <c r="D53" s="30">
        <f>г.Мурманск!D53+г.п.Кола!D53+г.п.Молочный!D53+г.п.Мурмаши!D53+г.п.Верхнетуломский!D53+'г.п.Кильдинстрой-Шонгуй'!D53+с.п.Ловозеро!D53+г.п.Ревда!D53+н.п.Высокий!D53+г.Гаджиево!D53+'ЗАТО г.Североморск'!D53+г.п.Никель!D53+г.Полярный!D53+г.Снежногорск!D53+с.п.Териберка!D53+г.Кандалакша!D53+с.п.Умба!D53+с.п.Зеленоборский!D53+с.п.Ёнский!D53+Росляково!D53+'с.п.Белое море'!D53+'Нива-3'!D53+Лопарская!D53+'Ура-Губа'!D53</f>
        <v>41133.800000000003</v>
      </c>
    </row>
    <row r="54" spans="1:6" x14ac:dyDescent="0.25">
      <c r="A54" s="4" t="s">
        <v>70</v>
      </c>
      <c r="B54" s="10" t="s">
        <v>68</v>
      </c>
      <c r="C54" s="8" t="s">
        <v>72</v>
      </c>
      <c r="D54" s="31">
        <f>г.Мурманск!D54+г.п.Кола!D54+г.п.Молочный!D54+г.п.Мурмаши!D54+г.п.Верхнетуломский!D54+'г.п.Кильдинстрой-Шонгуй'!D54+с.п.Ловозеро!D54+г.п.Ревда!D54+н.п.Высокий!D54+г.Гаджиево!D54+'ЗАТО г.Североморск'!D54+г.п.Никель!D54+г.Полярный!D54+г.Снежногорск!D54+с.п.Териберка!D54+г.Кандалакша!D54+с.п.Умба!D54+с.п.Зеленоборский!D54+с.п.Ёнский!D54+Росляково!D54+'с.п.Белое море'!D54+'Нива-3'!D54+Лопарская!D54+'Ура-Губа'!D54</f>
        <v>41133.800000000003</v>
      </c>
    </row>
    <row r="55" spans="1:6" x14ac:dyDescent="0.25">
      <c r="A55" s="4" t="s">
        <v>71</v>
      </c>
      <c r="B55" s="10" t="s">
        <v>69</v>
      </c>
      <c r="C55" s="8" t="s">
        <v>72</v>
      </c>
      <c r="D55" s="31"/>
    </row>
    <row r="56" spans="1:6" ht="30" x14ac:dyDescent="0.25">
      <c r="A56" s="18" t="s">
        <v>39</v>
      </c>
      <c r="B56" s="16" t="s">
        <v>80</v>
      </c>
      <c r="C56" s="17" t="s">
        <v>72</v>
      </c>
      <c r="D56" s="30">
        <f>г.Мурманск!D56+г.п.Кола!D56+г.п.Молочный!D56+г.п.Мурмаши!D56+г.п.Верхнетуломский!D56+'г.п.Кильдинстрой-Шонгуй'!D56+с.п.Ловозеро!D56+г.п.Ревда!D56+н.п.Высокий!D56+г.Гаджиево!D56+'ЗАТО г.Североморск'!D56+г.п.Никель!D56+г.Полярный!D56+г.Снежногорск!D56+с.п.Териберка!D56+г.Кандалакша!D56+с.п.Умба!D56+с.п.Зеленоборский!D56+с.п.Ёнский!D56+Росляково!D56+'с.п.Белое море'!D56+'Нива-3'!D56+Лопарская!D56+'Ура-Губа'!D56</f>
        <v>585150.33075999981</v>
      </c>
      <c r="F56" s="24">
        <v>585150.33076499798</v>
      </c>
    </row>
    <row r="57" spans="1:6" ht="60" x14ac:dyDescent="0.25">
      <c r="A57" s="4" t="s">
        <v>40</v>
      </c>
      <c r="B57" s="3" t="s">
        <v>53</v>
      </c>
      <c r="C57" s="8"/>
      <c r="D57" s="31"/>
    </row>
    <row r="58" spans="1:6" ht="45" x14ac:dyDescent="0.25">
      <c r="A58" s="4" t="s">
        <v>41</v>
      </c>
      <c r="B58" s="3" t="s">
        <v>99</v>
      </c>
      <c r="C58" s="8" t="s">
        <v>98</v>
      </c>
      <c r="D58" s="31">
        <f>г.Мурманск!D58+г.п.Кола!D58+г.п.Молочный!D58+г.п.Мурмаши!D58+г.п.Верхнетуломский!D58+'г.п.Кильдинстрой-Шонгуй'!D58+с.п.Ловозеро!D58+г.п.Ревда!D58+н.п.Высокий!D58+г.Гаджиево!D58+'ЗАТО г.Североморск'!D58+г.п.Никель!D58+г.Полярный!D58+г.Снежногорск!D58+с.п.Териберка!D58+г.Кандалакша!D58+с.п.Умба!D58+с.п.Зеленоборский!D58+с.п.Ёнский!D58+Росляково!D58+'с.п.Белое море'!D58+'Нива-3'!D58+Лопарская!D58+'Ура-Губа'!D58</f>
        <v>2230.7659999999996</v>
      </c>
    </row>
    <row r="59" spans="1:6" ht="30" x14ac:dyDescent="0.25">
      <c r="A59" s="4" t="s">
        <v>42</v>
      </c>
      <c r="B59" s="3" t="s">
        <v>100</v>
      </c>
      <c r="C59" s="8" t="s">
        <v>98</v>
      </c>
      <c r="D59" s="31">
        <f>г.Мурманск!D59+г.п.Кола!D59+г.п.Молочный!D59+г.п.Мурмаши!D59+г.п.Верхнетуломский!D59+'г.п.Кильдинстрой-Шонгуй'!D59+с.п.Ловозеро!D59+г.п.Ревда!D59+н.п.Высокий!D59+г.Гаджиево!D59+'ЗАТО г.Североморск'!D59+г.п.Никель!D59+г.Полярный!D59+г.Снежногорск!D59+с.п.Териберка!D59+г.Кандалакша!D59+с.п.Умба!D59+с.п.Зеленоборский!D59+с.п.Ёнский!D59+Росляково!D59+'с.п.Белое море'!D59+'Нива-3'!D59+Лопарская!D59+'Ура-Губа'!D59</f>
        <v>0</v>
      </c>
    </row>
    <row r="60" spans="1:6" ht="45" x14ac:dyDescent="0.25">
      <c r="A60" s="4" t="s">
        <v>43</v>
      </c>
      <c r="B60" s="3" t="s">
        <v>96</v>
      </c>
      <c r="C60" s="8" t="s">
        <v>95</v>
      </c>
      <c r="D60" s="31">
        <f>г.Мурманск!D60+г.п.Кола!D60+г.п.Молочный!D60+г.п.Мурмаши!D60+г.п.Верхнетуломский!D60+'г.п.Кильдинстрой-Шонгуй'!D60+с.п.Ловозеро!D60+г.п.Ревда!D60+н.п.Высокий!D60+г.Гаджиево!D60+'ЗАТО г.Североморск'!D60+г.п.Никель!D60+г.Полярный!D60+г.Снежногорск!D60+с.п.Териберка!D60+г.Кандалакша!D60+с.п.Умба!D60+с.п.Зеленоборский!D60+с.п.Ёнский!D60+Росляково!D60+'с.п.Белое море'!D60+'Нива-3'!D60+Лопарская!D60+'Ура-Губа'!D60</f>
        <v>2861.5990000000002</v>
      </c>
    </row>
    <row r="61" spans="1:6" ht="45" x14ac:dyDescent="0.25">
      <c r="A61" s="4" t="s">
        <v>44</v>
      </c>
      <c r="B61" s="3" t="s">
        <v>97</v>
      </c>
      <c r="C61" s="8" t="s">
        <v>95</v>
      </c>
      <c r="D61" s="31">
        <f>г.Мурманск!D61+г.п.Кола!D61+г.п.Молочный!D61+г.п.Мурмаши!D61+г.п.Верхнетуломский!D61+'г.п.Кильдинстрой-Шонгуй'!D61+с.п.Ловозеро!D61+г.п.Ревда!D61+н.п.Высокий!D61+г.Гаджиево!D61+'ЗАТО г.Североморск'!D61+г.п.Никель!D61+г.Полярный!D61+г.Снежногорск!D61+с.п.Териберка!D61+г.Кандалакша!D61+с.п.Умба!D61+с.п.Зеленоборский!D61+с.п.Ёнский!D61+Росляково!D61+'с.п.Белое море'!D61+'Нива-3'!D61+Лопарская!D61+'Ура-Губа'!D61</f>
        <v>0</v>
      </c>
    </row>
    <row r="62" spans="1:6" ht="60" x14ac:dyDescent="0.25">
      <c r="A62" s="4" t="s">
        <v>45</v>
      </c>
      <c r="B62" s="3" t="s">
        <v>94</v>
      </c>
      <c r="C62" s="8" t="s">
        <v>95</v>
      </c>
      <c r="D62" s="31">
        <f>г.Мурманск!D62+г.п.Кола!D62+г.п.Молочный!D62+г.п.Мурмаши!D62+г.п.Верхнетуломский!D62+'г.п.Кильдинстрой-Шонгуй'!D62+с.п.Ловозеро!D62+г.п.Ревда!D62+н.п.Высокий!D62+г.Гаджиево!D62+'ЗАТО г.Североморск'!D62+г.п.Никель!D62+г.Полярный!D62+г.Снежногорск!D62+с.п.Териберка!D62+г.Кандалакша!D62+с.п.Умба!D62+с.п.Зеленоборский!D62+с.п.Ёнский!D62+Росляково!D62+'с.п.Белое море'!D62+'Нива-3'!D62+Лопарская!D62+'Ура-Губа'!D62</f>
        <v>2388.5210999999995</v>
      </c>
    </row>
    <row r="63" spans="1:6" ht="45" x14ac:dyDescent="0.25">
      <c r="A63" s="4" t="s">
        <v>46</v>
      </c>
      <c r="B63" s="3" t="s">
        <v>92</v>
      </c>
      <c r="C63" s="8" t="s">
        <v>95</v>
      </c>
      <c r="D63" s="31">
        <f>г.Мурманск!D63+г.п.Кола!D63+г.п.Молочный!D63+г.п.Мурмаши!D63+г.п.Верхнетуломский!D63+'г.п.Кильдинстрой-Шонгуй'!D63+с.п.Ловозеро!D63+г.п.Ревда!D63+н.п.Высокий!D63+г.Гаджиево!D63+'ЗАТО г.Североморск'!D63+г.п.Никель!D63+г.Полярный!D63+г.Снежногорск!D63+с.п.Териберка!D63+г.Кандалакша!D63+с.п.Умба!D63+с.п.Зеленоборский!D63+с.п.Ёнский!D63+Росляково!D63+'с.п.Белое море'!D63+'Нива-3'!D63+Лопарская!D63+'Ура-Губа'!D63</f>
        <v>353.55162000000001</v>
      </c>
    </row>
    <row r="64" spans="1:6" x14ac:dyDescent="0.25">
      <c r="A64" s="4" t="s">
        <v>47</v>
      </c>
      <c r="B64" s="3" t="s">
        <v>90</v>
      </c>
      <c r="C64" s="8" t="s">
        <v>91</v>
      </c>
      <c r="D64" s="31">
        <f>г.Мурманск!D64+г.п.Кола!D64+г.п.Молочный!D64+г.п.Мурмаши!D64+г.п.Верхнетуломский!D64+'г.п.Кильдинстрой-Шонгуй'!D64+с.п.Ловозеро!D64+г.п.Ревда!D64+н.п.Высокий!D64+г.Гаджиево!D64+'ЗАТО г.Североморск'!D64+г.п.Никель!D64+г.Полярный!D64+г.Снежногорск!D64+с.п.Териберка!D64+г.Кандалакша!D64+с.п.Умба!D64+с.п.Зеленоборский!D64+с.п.Ёнский!D64+Росляково!D64+'с.п.Белое море'!D64+'Нива-3'!D64+Лопарская!D64+'Ура-Губа'!D64</f>
        <v>401.80999999999995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г.Мурманск!D65+г.п.Кола!D65+г.п.Молочный!D65+г.п.Мурмаши!D65+г.п.Верхнетуломский!D65+'г.п.Кильдинстрой-Шонгуй'!D65+с.п.Ловозеро!D65+г.п.Ревда!D65+н.п.Высокий!D65+г.Гаджиево!D65+'ЗАТО г.Североморск'!D65+г.п.Никель!D65+г.Полярный!D65+г.Снежногорск!D65+с.п.Териберка!D65+г.Кандалакша!D65+с.п.Умба!D65+с.п.Зеленоборский!D65+с.п.Ёнский!D65+Росляково!D65+'с.п.Белое море'!D65+'Нива-3'!D65+Лопарская!D65+'Ура-Губа'!D65</f>
        <v>1374.2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183.84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0.97399999999999998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  <pageSetup paperSize="9" scale="8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A59" sqref="A59:XFD5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8" t="s">
        <v>5</v>
      </c>
      <c r="B3" s="38"/>
      <c r="C3" s="38"/>
      <c r="D3" s="38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592379.16917999997</v>
      </c>
    </row>
    <row r="7" spans="1:6" x14ac:dyDescent="0.25">
      <c r="A7" s="4" t="s">
        <v>6</v>
      </c>
      <c r="B7" s="5" t="s">
        <v>4</v>
      </c>
      <c r="C7" s="8" t="s">
        <v>72</v>
      </c>
      <c r="D7" s="31"/>
    </row>
    <row r="8" spans="1:6" x14ac:dyDescent="0.25">
      <c r="A8" s="4" t="s">
        <v>7</v>
      </c>
      <c r="B8" s="5" t="s">
        <v>5</v>
      </c>
      <c r="C8" s="8" t="s">
        <v>72</v>
      </c>
      <c r="D8" s="31">
        <f>588397.49905+607.74872+3373.92141</f>
        <v>592379.16917999997</v>
      </c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D36+D39+D40+D41+D42+D43+D44+D45+D46+D47+D50+D51</f>
        <v>562714.10413000011</v>
      </c>
      <c r="F9" s="23">
        <f>550650.78311+3840.77462+8222.5464</f>
        <v>562714.10412999999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/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/>
    </row>
    <row r="14" spans="1:6" x14ac:dyDescent="0.25">
      <c r="A14" s="4"/>
      <c r="B14" s="9" t="s">
        <v>58</v>
      </c>
      <c r="C14" s="8" t="s">
        <v>75</v>
      </c>
      <c r="D14" s="31"/>
    </row>
    <row r="15" spans="1:6" x14ac:dyDescent="0.25">
      <c r="A15" s="4"/>
      <c r="B15" s="9" t="s">
        <v>129</v>
      </c>
      <c r="C15" s="8" t="s">
        <v>72</v>
      </c>
      <c r="D15" s="31"/>
    </row>
    <row r="16" spans="1:6" x14ac:dyDescent="0.25">
      <c r="A16" s="4"/>
      <c r="B16" s="9" t="s">
        <v>128</v>
      </c>
      <c r="C16" s="8" t="s">
        <v>72</v>
      </c>
      <c r="D16" s="31"/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7526.89178+5295.57039</f>
        <v>12822.462169999999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4.3151886236854997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2971.4720000000002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v>0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4465.56981+1364.69041+22180.54731+6852.31097+20125.9918+6214.57933</f>
        <v>61203.689630000001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24.91524</f>
        <v>24.915240000000001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43396.176+50966.832</f>
        <v>94363.008000000002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1889.21804+154+19364.20643+15639.71287-15.25-15.25</f>
        <v>37016.637340000001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f>27.37889+855.61397+2299.32068</f>
        <v>3182.3135399999996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3456.71064+12194.79572</f>
        <v>15651.506359999999</v>
      </c>
    </row>
    <row r="48" spans="1:4" s="20" customFormat="1" ht="45" x14ac:dyDescent="0.25">
      <c r="A48" s="4"/>
      <c r="B48" s="5" t="s">
        <v>142</v>
      </c>
      <c r="C48" s="8" t="s">
        <v>72</v>
      </c>
      <c r="D48" s="31">
        <v>1940.56675</v>
      </c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f>15.25+15.25</f>
        <v>30.5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338419.07185000007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3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29665.065049999859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/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/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1737.274496+1.79441+9.96168</f>
        <v>1749.0305859999999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v>116.54900000000001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107.04300000000001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96.4</f>
        <v>96.4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/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/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3" sqref="F23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8" t="s">
        <v>125</v>
      </c>
      <c r="B3" s="38"/>
      <c r="C3" s="38"/>
      <c r="D3" s="38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7788425.3460400011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'пр-во тепловой энергии'!D7+'передача тепловой энергии'!D7</f>
        <v>7196046.1768600009</v>
      </c>
    </row>
    <row r="8" spans="1:6" x14ac:dyDescent="0.25">
      <c r="A8" s="4" t="s">
        <v>7</v>
      </c>
      <c r="B8" s="5" t="s">
        <v>5</v>
      </c>
      <c r="C8" s="8" t="s">
        <v>72</v>
      </c>
      <c r="D8" s="31">
        <f>'пр-во тепловой энергии'!D8+'передача тепловой энергии'!D8</f>
        <v>592379.16917999997</v>
      </c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'пр-во тепловой энергии'!D9+'передача тепловой энергии'!D9</f>
        <v>7173609.9502300005</v>
      </c>
      <c r="F9" s="21"/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'пр-во тепловой энергии'!D11+'передача тепловой энергии'!D11</f>
        <v>3464065.3823299999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'пр-во тепловой энергии'!D13+'передача тепловой энергии'!D13</f>
        <v>3409957.99101</v>
      </c>
    </row>
    <row r="14" spans="1:6" x14ac:dyDescent="0.25">
      <c r="A14" s="4"/>
      <c r="B14" s="9" t="s">
        <v>58</v>
      </c>
      <c r="C14" s="8" t="s">
        <v>75</v>
      </c>
      <c r="D14" s="31">
        <f>'пр-во тепловой энергии'!D14+'передача тепловой энергии'!D14</f>
        <v>376354.36799999996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9.0604979799517036</v>
      </c>
    </row>
    <row r="16" spans="1:6" x14ac:dyDescent="0.25">
      <c r="A16" s="4"/>
      <c r="B16" s="9" t="s">
        <v>128</v>
      </c>
      <c r="C16" s="8" t="s">
        <v>72</v>
      </c>
      <c r="D16" s="31">
        <f>'пр-во тепловой энергии'!D16+'передача тепловой энергии'!D16</f>
        <v>46717.830189999993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>
        <f>'пр-во тепловой энергии'!D19+'передача тепловой энергии'!D19</f>
        <v>25452.607840000001</v>
      </c>
    </row>
    <row r="20" spans="1:4" x14ac:dyDescent="0.25">
      <c r="A20" s="4"/>
      <c r="B20" s="9" t="s">
        <v>58</v>
      </c>
      <c r="C20" s="8" t="s">
        <v>75</v>
      </c>
      <c r="D20" s="31">
        <f>'пр-во тепловой энергии'!D20+'передача тепловой энергии'!D20</f>
        <v>7547.6729999999998</v>
      </c>
    </row>
    <row r="21" spans="1:4" x14ac:dyDescent="0.25">
      <c r="A21" s="4"/>
      <c r="B21" s="9" t="s">
        <v>129</v>
      </c>
      <c r="C21" s="8" t="s">
        <v>72</v>
      </c>
      <c r="D21" s="31">
        <f>D19/D20</f>
        <v>3.3722457027483839</v>
      </c>
    </row>
    <row r="22" spans="1:4" x14ac:dyDescent="0.25">
      <c r="A22" s="4"/>
      <c r="B22" s="9" t="s">
        <v>128</v>
      </c>
      <c r="C22" s="8" t="s">
        <v>72</v>
      </c>
      <c r="D22" s="31">
        <f>'пр-во тепловой энергии'!D22+'передача тепловой энергии'!D22</f>
        <v>0</v>
      </c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>
        <f>'пр-во тепловой энергии'!D25+'передача тепловой энергии'!D25</f>
        <v>8883.6081000000013</v>
      </c>
    </row>
    <row r="26" spans="1:4" x14ac:dyDescent="0.25">
      <c r="A26" s="4"/>
      <c r="B26" s="9" t="s">
        <v>58</v>
      </c>
      <c r="C26" s="8" t="s">
        <v>75</v>
      </c>
      <c r="D26" s="31">
        <f>'пр-во тепловой энергии'!D26+'передача тепловой энергии'!D26</f>
        <v>270.06700000000001</v>
      </c>
    </row>
    <row r="27" spans="1:4" x14ac:dyDescent="0.25">
      <c r="A27" s="4"/>
      <c r="B27" s="9" t="s">
        <v>129</v>
      </c>
      <c r="C27" s="8" t="s">
        <v>72</v>
      </c>
      <c r="D27" s="31">
        <f>D25/D26</f>
        <v>32.894089614799292</v>
      </c>
    </row>
    <row r="28" spans="1:4" x14ac:dyDescent="0.25">
      <c r="A28" s="4"/>
      <c r="B28" s="9" t="s">
        <v>128</v>
      </c>
      <c r="C28" s="8" t="s">
        <v>72</v>
      </c>
      <c r="D28" s="31">
        <f>'пр-во тепловой энергии'!D28+'передача тепловой энергии'!D28</f>
        <v>0</v>
      </c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>
        <f>'пр-во тепловой энергии'!D31+'передача тепловой энергии'!D31</f>
        <v>19771.175380000001</v>
      </c>
    </row>
    <row r="32" spans="1:4" x14ac:dyDescent="0.25">
      <c r="A32" s="4"/>
      <c r="B32" s="9" t="s">
        <v>58</v>
      </c>
      <c r="C32" s="8" t="s">
        <v>75</v>
      </c>
      <c r="D32" s="31">
        <f>'пр-во тепловой энергии'!D32+'передача тепловой энергии'!D32</f>
        <v>1489.385</v>
      </c>
    </row>
    <row r="33" spans="1:4" x14ac:dyDescent="0.25">
      <c r="A33" s="4"/>
      <c r="B33" s="9" t="s">
        <v>129</v>
      </c>
      <c r="C33" s="8" t="s">
        <v>72</v>
      </c>
      <c r="D33" s="31">
        <f>D31/D32</f>
        <v>13.274724386239958</v>
      </c>
    </row>
    <row r="34" spans="1:4" x14ac:dyDescent="0.25">
      <c r="A34" s="4"/>
      <c r="B34" s="9" t="s">
        <v>128</v>
      </c>
      <c r="C34" s="8" t="s">
        <v>72</v>
      </c>
      <c r="D34" s="31">
        <f>'пр-во тепловой энергии'!D34+'передача тепловой энергии'!D34</f>
        <v>0</v>
      </c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'пр-во тепловой энергии'!D36+'передача тепловой энергии'!D36</f>
        <v>369041.00327999995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3.2761656319766108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f>'пр-во тепловой энергии'!D38+'передача тепловой энергии'!D38</f>
        <v>112644.18370000001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'пр-во тепловой энергии'!D39+'передача тепловой энергии'!D39</f>
        <v>80201.328239999973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'пр-во тепловой энергии'!D40+'передача тепловой энергии'!D40</f>
        <v>1738.5539799999999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'пр-во тепловой энергии'!D41+'передача тепловой энергии'!D41</f>
        <v>936040.80584999989</v>
      </c>
    </row>
    <row r="42" spans="1:4" ht="30" x14ac:dyDescent="0.25">
      <c r="A42" s="28" t="s">
        <v>18</v>
      </c>
      <c r="B42" s="22" t="s">
        <v>130</v>
      </c>
      <c r="C42" s="29" t="s">
        <v>72</v>
      </c>
      <c r="D42" s="35">
        <f>'пр-во тепловой энергии'!D42+'передача тепловой энергии'!D42</f>
        <v>0</v>
      </c>
    </row>
    <row r="43" spans="1:4" x14ac:dyDescent="0.25">
      <c r="A43" s="4" t="s">
        <v>19</v>
      </c>
      <c r="B43" s="3" t="s">
        <v>26</v>
      </c>
      <c r="C43" s="8" t="s">
        <v>72</v>
      </c>
      <c r="D43" s="31">
        <f>'пр-во тепловой энергии'!D43+'передача тепловой энергии'!D43</f>
        <v>11839.025729999999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'пр-во тепловой энергии'!D44+'передача тепловой энергии'!D44</f>
        <v>306683.57152999996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'пр-во тепловой энергии'!D45+'передача тепловой энергии'!D45</f>
        <v>462181.6813600001</v>
      </c>
    </row>
    <row r="46" spans="1:4" ht="30" x14ac:dyDescent="0.25">
      <c r="A46" s="4" t="s">
        <v>22</v>
      </c>
      <c r="B46" s="22" t="s">
        <v>33</v>
      </c>
      <c r="C46" s="29" t="s">
        <v>72</v>
      </c>
      <c r="D46" s="35">
        <f>'пр-во тепловой энергии'!D46+'передача тепловой энергии'!D46</f>
        <v>107910.79584999999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'пр-во тепловой энергии'!D47+'передача тепловой энергии'!D47</f>
        <v>113249.94054000001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f>'пр-во тепловой энергии'!D50+'передача тепловой энергии'!D50</f>
        <v>59488.849119999999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'пр-во тепловой энергии'!D51+'передача тепловой энергии'!D51</f>
        <v>1261169.01242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3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'пр-во тепловой энергии'!D53+'передача тепловой энергии'!D53</f>
        <v>41133.800000000003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'пр-во тепловой энергии'!D54+'передача тепловой энергии'!D54</f>
        <v>41133.800000000003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'пр-во тепловой энергии'!D56+'передача тепловой энергии'!D56</f>
        <v>614815.39580999967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f>'пр-во тепловой энергии'!D58+'передача тепловой энергии'!D58</f>
        <v>2230.7659999999996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>
        <f>'пр-во тепловой энергии'!D59+'передача тепловой энергии'!D59</f>
        <v>0</v>
      </c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f>'пр-во тепловой энергии'!D60+'передача тепловой энергии'!D60</f>
        <v>2861.5990000000002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143</v>
      </c>
      <c r="C62" s="8" t="s">
        <v>95</v>
      </c>
      <c r="D62" s="31">
        <f>'пр-во тепловой энергии'!D62+'передача тепловой энергии'!D62</f>
        <v>4137.5516859999989</v>
      </c>
    </row>
    <row r="63" spans="1:4" ht="45" x14ac:dyDescent="0.25">
      <c r="A63" s="4" t="s">
        <v>46</v>
      </c>
      <c r="B63" s="3" t="s">
        <v>92</v>
      </c>
      <c r="C63" s="8" t="s">
        <v>93</v>
      </c>
      <c r="D63" s="31">
        <f>'пр-во тепловой энергии'!D63+'передача тепловой энергии'!D63</f>
        <v>470.10062000000005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f>'пр-во тепловой энергии'!D64+'передача тепловой энергии'!D64</f>
        <v>508.85299999999995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'пр-во тепловой энергии'!D65+'передача тепловой энергии'!D65</f>
        <v>1470.6000000000001</v>
      </c>
    </row>
    <row r="66" spans="1:4" ht="30" x14ac:dyDescent="0.25">
      <c r="A66" s="4" t="s">
        <v>49</v>
      </c>
      <c r="B66" s="22" t="s">
        <v>83</v>
      </c>
      <c r="C66" s="29" t="s">
        <v>81</v>
      </c>
      <c r="D66" s="35">
        <v>0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183.84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0.97399999999999998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105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116404.48358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v>116404.48358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D10+D11+D36+D39+D40+D41+D42+D43+D44+D45+D46+D47+D50+D51</f>
        <v>116549.49029999999</v>
      </c>
      <c r="F9" s="23">
        <v>116549.4903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49549.427389999997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49549.42739</f>
        <v>49549.427389999997</v>
      </c>
    </row>
    <row r="14" spans="1:6" x14ac:dyDescent="0.25">
      <c r="A14" s="4"/>
      <c r="B14" s="9" t="s">
        <v>58</v>
      </c>
      <c r="C14" s="8" t="s">
        <v>75</v>
      </c>
      <c r="D14" s="31">
        <f>5462.977</f>
        <v>5462.9769999999999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9.0700413693852262</v>
      </c>
    </row>
    <row r="16" spans="1:6" x14ac:dyDescent="0.25">
      <c r="A16" s="4"/>
      <c r="B16" s="9" t="s">
        <v>128</v>
      </c>
      <c r="C16" s="8" t="s">
        <v>72</v>
      </c>
      <c r="D16" s="31">
        <v>1477.8140900000001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5421.73879</f>
        <v>5421.7387900000003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3.871846414120423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f>1400.298</f>
        <v>1400.298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294.6945</f>
        <v>294.69450000000001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v>5.34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22556.41665+7436.80713</f>
        <v>29993.22378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986.43564</f>
        <v>986.43564000000003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7822.764+7.34712</f>
        <v>7830.1111200000005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8558.46608-510.05692</f>
        <v>8048.4091600000002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1737.50136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502.70979999999997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12179.898760000005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3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D54</f>
        <v>23240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23240</f>
        <v>23240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-145.00671999999031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47.11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40.643000000000001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v>34.436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5.3092600000000001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6.0979999999999999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v>46.2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185.24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0.503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9" sqref="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customHeight="1" x14ac:dyDescent="0.25">
      <c r="A3" s="37" t="s">
        <v>106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69775.665280000001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v>69775.665280000001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D10+D11+D36+D39+D40+D41+D42+D43+D44+D45+D46+D47+D50+D51</f>
        <v>79799.941690000007</v>
      </c>
      <c r="F9" s="23">
        <v>79799.941690000007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29789.8878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29789.8878</f>
        <v>29789.8878</v>
      </c>
    </row>
    <row r="14" spans="1:6" x14ac:dyDescent="0.25">
      <c r="A14" s="4"/>
      <c r="B14" s="9" t="s">
        <v>58</v>
      </c>
      <c r="C14" s="8" t="s">
        <v>75</v>
      </c>
      <c r="D14" s="31">
        <f>3274.431</f>
        <v>3274.431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9.0977295902707986</v>
      </c>
    </row>
    <row r="16" spans="1:6" x14ac:dyDescent="0.25">
      <c r="A16" s="4"/>
      <c r="B16" s="9" t="s">
        <v>128</v>
      </c>
      <c r="C16" s="8" t="s">
        <v>72</v>
      </c>
      <c r="D16" s="31">
        <v>1070.8632700000001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3729.17993</f>
        <v>3729.1799299999998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4.3530605710416959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f>856.68</f>
        <v>856.68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252.61435</f>
        <v>252.61435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/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12532.79105+4223.18113</f>
        <v>16755.972180000001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/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9170.316+29.1252</f>
        <v>9199.4412000000011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6195.74072-366.08216</f>
        <v>5829.6585599999999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3043.99935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1896.24973</f>
        <v>1896.24973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336.95695999999998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8965.9816300000111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3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-10024.276410000006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24.35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24.279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v>20.925699999999999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3.8270200000000001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3.423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v>25.6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185.78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6">
        <v>0.496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customHeight="1" x14ac:dyDescent="0.25">
      <c r="A3" s="37" t="s">
        <v>107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31311.880529999999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v>31311.880529999999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D10+D11+D36+D39+D40+D41+D42+D43+D44+D45+D46+D47+D50+D51</f>
        <v>50471.19571</v>
      </c>
      <c r="F9" s="23">
        <v>50471.19571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14803.634700000001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14803.6347</f>
        <v>14803.634700000001</v>
      </c>
    </row>
    <row r="14" spans="1:6" x14ac:dyDescent="0.25">
      <c r="A14" s="4"/>
      <c r="B14" s="9" t="s">
        <v>58</v>
      </c>
      <c r="C14" s="8" t="s">
        <v>75</v>
      </c>
      <c r="D14" s="31">
        <f>1638.181</f>
        <v>1638.181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9.0366294689048399</v>
      </c>
    </row>
    <row r="16" spans="1:6" x14ac:dyDescent="0.25">
      <c r="A16" s="4"/>
      <c r="B16" s="9" t="s">
        <v>128</v>
      </c>
      <c r="C16" s="8" t="s">
        <v>72</v>
      </c>
      <c r="D16" s="31">
        <f>800.09424</f>
        <v>800.09424000000001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2684.05104</f>
        <v>2684.0510399999998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4.3662985424258194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614.72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199.37199</f>
        <v>199.37199000000001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v>4.1379000000000001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10854.01635+3602.15718</f>
        <v>14456.17353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v>0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2515.968+21.0534</f>
        <v>2537.0213999999996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5792.7261-162.24323</f>
        <v>5630.4828699999998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2773.7962200000002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1245.415</f>
        <v>1245.415</v>
      </c>
    </row>
    <row r="48" spans="1:4" s="20" customFormat="1" ht="30" x14ac:dyDescent="0.25">
      <c r="A48" s="4"/>
      <c r="B48" s="5" t="s">
        <v>134</v>
      </c>
      <c r="C48" s="8" t="s">
        <v>72</v>
      </c>
      <c r="D48" s="31">
        <f>1245.415</f>
        <v>1245.415</v>
      </c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141.18983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5995.9212299999981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-19159.315180000001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10.11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11.275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v>9.5642999999999994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3.1336400000000002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2.1619999999999999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v>23.6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200.66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0.60699999999999998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3" sqref="D43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9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108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70025.538239999994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f>46584.59208+23440.94616</f>
        <v>70025.538239999994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D10+D11+D36+D39+D40+D41+D42+D43+D44+D45+D46+D47+D50+D51</f>
        <v>111258.41768</v>
      </c>
      <c r="F9" s="23">
        <f>71150.03039+40108.38729</f>
        <v>111258.41768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34598.947610000003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22838.57603+11760.37158</f>
        <v>34598.947610000003</v>
      </c>
    </row>
    <row r="14" spans="1:6" x14ac:dyDescent="0.25">
      <c r="A14" s="4"/>
      <c r="B14" s="9" t="s">
        <v>58</v>
      </c>
      <c r="C14" s="8" t="s">
        <v>75</v>
      </c>
      <c r="D14" s="31">
        <f>2513.886+1300.837</f>
        <v>3814.723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9.0698453360833806</v>
      </c>
    </row>
    <row r="16" spans="1:6" x14ac:dyDescent="0.25">
      <c r="A16" s="4"/>
      <c r="B16" s="9" t="s">
        <v>128</v>
      </c>
      <c r="C16" s="8" t="s">
        <v>72</v>
      </c>
      <c r="D16" s="31">
        <f>983.46759+547.59615</f>
        <v>1531.0637400000001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4716.95611+1419.83596</f>
        <v>6136.7920699999995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4.0338176905036089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f>1196.14+325.196</f>
        <v>1521.3360000000002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423.46702+172.28121</f>
        <v>595.74822999999992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23.93194</f>
        <v>23.931940000000001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13962.27109+4651.13313+11125.23083+3720.27134</f>
        <v>33458.906390000004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6"/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4762.644+2223.312+30.414</f>
        <v>7016.37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8074.78708+3142.50749-197.15132-152.15974</f>
        <v>10867.98351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f>2875.97569+2483.18283</f>
        <v>5359.1585200000009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f>1137.0653+692.97326</f>
        <v>1830.03856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11370.540850000001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-41232.879440000004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19.920000000000002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24.036999999999999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f>21.3702</f>
        <v>21.370200000000001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5.1841499999999998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4.2569999999999997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29.3+22.8</f>
        <v>52.1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218.6995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0.97399999999999998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7" sqref="D47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109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81326.875140000004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v>81326.875140000004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99919.479420000018</v>
      </c>
      <c r="F9" s="23">
        <v>99919.479420000003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34895.506249999999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34895.50625</f>
        <v>34895.506249999999</v>
      </c>
    </row>
    <row r="14" spans="1:6" x14ac:dyDescent="0.25">
      <c r="A14" s="4"/>
      <c r="B14" s="9" t="s">
        <v>58</v>
      </c>
      <c r="C14" s="8" t="s">
        <v>75</v>
      </c>
      <c r="D14" s="31">
        <f>3835.03</f>
        <v>3835.03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9.0991481813701576</v>
      </c>
    </row>
    <row r="16" spans="1:6" x14ac:dyDescent="0.25">
      <c r="A16" s="4"/>
      <c r="B16" s="9" t="s">
        <v>128</v>
      </c>
      <c r="C16" s="8" t="s">
        <v>72</v>
      </c>
      <c r="D16" s="31">
        <v>1159.6061500000001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4595.82852</f>
        <v>4595.82852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4.3664999429939577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f>1052.52</f>
        <v>1052.52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938.81239</f>
        <v>938.81239000000005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13.36407</f>
        <v>13.36407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20139.10898+6722.18716</f>
        <v>26861.296140000002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81.68364</f>
        <v>81.683639999999997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8428.104+77.4042</f>
        <v>8505.5082000000002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9656.00315-1195.01834</f>
        <v>8460.9848099999999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3468.8371000000002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1117.6141399999999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10980.044160000001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-18592.604280000014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18.25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29.274000000000001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v>23.010100000000001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4.2536399999999999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4.3769999999999998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40.8</f>
        <v>40.799999999999997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180.5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0.80300000000000005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69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110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216347.81635000001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v>216347.81635000001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222135.65028000003</v>
      </c>
      <c r="F9" s="23">
        <v>222135.65028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96789.254360000006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96789.25436</f>
        <v>96789.254360000006</v>
      </c>
    </row>
    <row r="14" spans="1:6" x14ac:dyDescent="0.25">
      <c r="A14" s="4"/>
      <c r="B14" s="9" t="s">
        <v>58</v>
      </c>
      <c r="C14" s="8" t="s">
        <v>75</v>
      </c>
      <c r="D14" s="31">
        <v>10660.532999999999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9.0792134276963452</v>
      </c>
    </row>
    <row r="16" spans="1:6" x14ac:dyDescent="0.25">
      <c r="A16" s="4"/>
      <c r="B16" s="9" t="s">
        <v>128</v>
      </c>
      <c r="C16" s="8" t="s">
        <v>72</v>
      </c>
      <c r="D16" s="31">
        <v>3424.6433999999999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11109.88419</f>
        <v>11109.884190000001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4.0717142975468308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f>2728.552</f>
        <v>2728.5520000000001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2651.63443</f>
        <v>2651.6344300000001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46.58193</f>
        <v>46.58193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26681.70207+8841.09163</f>
        <v>35522.793700000002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f>12.92112</f>
        <v>12.92112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8162.268+60.4734</f>
        <v>8222.7414000000008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19743.10504-3068.2068</f>
        <v>16674.898239999999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4715.3642099999997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1349.427</f>
        <v>1349.4269999999999</v>
      </c>
    </row>
    <row r="48" spans="1:4" s="20" customFormat="1" ht="30" x14ac:dyDescent="0.25">
      <c r="A48" s="4"/>
      <c r="B48" s="5" t="s">
        <v>135</v>
      </c>
      <c r="C48" s="8" t="s">
        <v>72</v>
      </c>
      <c r="D48" s="31">
        <f>1349.427</f>
        <v>1349.4269999999999</v>
      </c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3007.7334000000001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42032.416300000004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1"/>
    </row>
    <row r="54" spans="1:4" x14ac:dyDescent="0.25">
      <c r="A54" s="4" t="s">
        <v>70</v>
      </c>
      <c r="B54" s="10" t="s">
        <v>68</v>
      </c>
      <c r="C54" s="8" t="s">
        <v>72</v>
      </c>
      <c r="D54" s="31"/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-5787.8339300000225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51.21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84.21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v>72.269300000000001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4.2043200000000001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3.4319999999999999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55.4</f>
        <v>55.4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174.53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0.53100000000000003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43" sqref="D43"/>
    </sheetView>
  </sheetViews>
  <sheetFormatPr defaultRowHeight="15" x14ac:dyDescent="0.25"/>
  <cols>
    <col min="2" max="2" width="66.140625" customWidth="1"/>
    <col min="3" max="3" width="16.7109375" style="12" customWidth="1"/>
    <col min="4" max="4" width="17.42578125" bestFit="1" customWidth="1"/>
    <col min="6" max="6" width="0" hidden="1" customWidth="1"/>
  </cols>
  <sheetData>
    <row r="1" spans="1:6" ht="39" customHeight="1" x14ac:dyDescent="0.3">
      <c r="A1" s="36" t="s">
        <v>0</v>
      </c>
      <c r="B1" s="36"/>
      <c r="C1" s="36"/>
      <c r="D1" s="36"/>
    </row>
    <row r="2" spans="1:6" ht="30.75" customHeight="1" x14ac:dyDescent="0.25">
      <c r="A2" s="7"/>
      <c r="B2" s="7"/>
      <c r="C2" s="7"/>
      <c r="D2" s="7"/>
    </row>
    <row r="3" spans="1:6" ht="15.75" x14ac:dyDescent="0.25">
      <c r="A3" s="37" t="s">
        <v>111</v>
      </c>
      <c r="B3" s="37"/>
      <c r="C3" s="37"/>
      <c r="D3" s="37"/>
    </row>
    <row r="5" spans="1:6" ht="30" x14ac:dyDescent="0.25">
      <c r="A5" s="13" t="s">
        <v>1</v>
      </c>
      <c r="B5" s="13" t="s">
        <v>2</v>
      </c>
      <c r="C5" s="14" t="s">
        <v>59</v>
      </c>
      <c r="D5" s="13" t="s">
        <v>60</v>
      </c>
    </row>
    <row r="6" spans="1:6" ht="30" x14ac:dyDescent="0.25">
      <c r="A6" s="15">
        <v>1</v>
      </c>
      <c r="B6" s="16" t="s">
        <v>73</v>
      </c>
      <c r="C6" s="17" t="s">
        <v>72</v>
      </c>
      <c r="D6" s="30">
        <f>D7+D8</f>
        <v>120476.2441</v>
      </c>
    </row>
    <row r="7" spans="1:6" x14ac:dyDescent="0.25">
      <c r="A7" s="4" t="s">
        <v>6</v>
      </c>
      <c r="B7" s="5" t="s">
        <v>4</v>
      </c>
      <c r="C7" s="8" t="s">
        <v>72</v>
      </c>
      <c r="D7" s="31">
        <v>120476.2441</v>
      </c>
    </row>
    <row r="8" spans="1:6" x14ac:dyDescent="0.25">
      <c r="A8" s="4" t="s">
        <v>7</v>
      </c>
      <c r="B8" s="5" t="s">
        <v>5</v>
      </c>
      <c r="C8" s="8" t="s">
        <v>72</v>
      </c>
      <c r="D8" s="31"/>
    </row>
    <row r="9" spans="1:6" ht="30" x14ac:dyDescent="0.25">
      <c r="A9" s="18" t="s">
        <v>8</v>
      </c>
      <c r="B9" s="16" t="s">
        <v>74</v>
      </c>
      <c r="C9" s="17" t="s">
        <v>72</v>
      </c>
      <c r="D9" s="30">
        <f>D11+D36+D39+D40+D41+D42+D43+D44+D45+D46+D47+D50+D51</f>
        <v>162439.08081000001</v>
      </c>
      <c r="F9" s="23">
        <v>162439.08081000001</v>
      </c>
    </row>
    <row r="10" spans="1:6" ht="30" x14ac:dyDescent="0.25">
      <c r="A10" s="4" t="s">
        <v>3</v>
      </c>
      <c r="B10" s="3" t="s">
        <v>9</v>
      </c>
      <c r="C10" s="8" t="s">
        <v>72</v>
      </c>
      <c r="D10" s="31"/>
    </row>
    <row r="11" spans="1:6" x14ac:dyDescent="0.25">
      <c r="A11" s="4" t="s">
        <v>10</v>
      </c>
      <c r="B11" s="19" t="s">
        <v>56</v>
      </c>
      <c r="C11" s="8" t="s">
        <v>72</v>
      </c>
      <c r="D11" s="31">
        <f>D13+D19+D25+D31</f>
        <v>61869.317929999997</v>
      </c>
    </row>
    <row r="12" spans="1:6" x14ac:dyDescent="0.25">
      <c r="A12" s="4" t="s">
        <v>54</v>
      </c>
      <c r="B12" s="10" t="s">
        <v>55</v>
      </c>
      <c r="C12" s="8"/>
      <c r="D12" s="31"/>
    </row>
    <row r="13" spans="1:6" x14ac:dyDescent="0.25">
      <c r="A13" s="4"/>
      <c r="B13" s="9" t="s">
        <v>57</v>
      </c>
      <c r="C13" s="8" t="s">
        <v>72</v>
      </c>
      <c r="D13" s="31">
        <f>61869.31793</f>
        <v>61869.317929999997</v>
      </c>
    </row>
    <row r="14" spans="1:6" x14ac:dyDescent="0.25">
      <c r="A14" s="4"/>
      <c r="B14" s="9" t="s">
        <v>58</v>
      </c>
      <c r="C14" s="8" t="s">
        <v>75</v>
      </c>
      <c r="D14" s="31">
        <f>6816.75</f>
        <v>6816.75</v>
      </c>
    </row>
    <row r="15" spans="1:6" x14ac:dyDescent="0.25">
      <c r="A15" s="4"/>
      <c r="B15" s="9" t="s">
        <v>129</v>
      </c>
      <c r="C15" s="8" t="s">
        <v>72</v>
      </c>
      <c r="D15" s="31">
        <f>D13/D14</f>
        <v>9.0760726049803786</v>
      </c>
    </row>
    <row r="16" spans="1:6" x14ac:dyDescent="0.25">
      <c r="A16" s="4"/>
      <c r="B16" s="9" t="s">
        <v>128</v>
      </c>
      <c r="C16" s="8" t="s">
        <v>72</v>
      </c>
      <c r="D16" s="31">
        <f>169.34808</f>
        <v>169.34808000000001</v>
      </c>
    </row>
    <row r="17" spans="1:4" x14ac:dyDescent="0.25">
      <c r="A17" s="4"/>
      <c r="B17" s="9" t="s">
        <v>67</v>
      </c>
      <c r="C17" s="8"/>
      <c r="D17" s="31"/>
    </row>
    <row r="18" spans="1:4" x14ac:dyDescent="0.25">
      <c r="A18" s="4" t="s">
        <v>61</v>
      </c>
      <c r="B18" s="10" t="s">
        <v>62</v>
      </c>
      <c r="C18" s="8"/>
      <c r="D18" s="31"/>
    </row>
    <row r="19" spans="1:4" x14ac:dyDescent="0.25">
      <c r="A19" s="4"/>
      <c r="B19" s="9" t="s">
        <v>57</v>
      </c>
      <c r="C19" s="8" t="s">
        <v>72</v>
      </c>
      <c r="D19" s="31"/>
    </row>
    <row r="20" spans="1:4" x14ac:dyDescent="0.25">
      <c r="A20" s="4"/>
      <c r="B20" s="9" t="s">
        <v>58</v>
      </c>
      <c r="C20" s="8" t="s">
        <v>75</v>
      </c>
      <c r="D20" s="31"/>
    </row>
    <row r="21" spans="1:4" x14ac:dyDescent="0.25">
      <c r="A21" s="4"/>
      <c r="B21" s="9" t="s">
        <v>129</v>
      </c>
      <c r="C21" s="8" t="s">
        <v>72</v>
      </c>
      <c r="D21" s="31"/>
    </row>
    <row r="22" spans="1:4" x14ac:dyDescent="0.25">
      <c r="A22" s="4"/>
      <c r="B22" s="9" t="s">
        <v>128</v>
      </c>
      <c r="C22" s="8" t="s">
        <v>72</v>
      </c>
      <c r="D22" s="31"/>
    </row>
    <row r="23" spans="1:4" x14ac:dyDescent="0.25">
      <c r="A23" s="4"/>
      <c r="B23" s="9" t="s">
        <v>67</v>
      </c>
      <c r="C23" s="8"/>
      <c r="D23" s="31"/>
    </row>
    <row r="24" spans="1:4" x14ac:dyDescent="0.25">
      <c r="A24" s="4" t="s">
        <v>63</v>
      </c>
      <c r="B24" s="10" t="s">
        <v>64</v>
      </c>
      <c r="C24" s="8"/>
      <c r="D24" s="31"/>
    </row>
    <row r="25" spans="1:4" x14ac:dyDescent="0.25">
      <c r="A25" s="4"/>
      <c r="B25" s="9" t="s">
        <v>57</v>
      </c>
      <c r="C25" s="8" t="s">
        <v>72</v>
      </c>
      <c r="D25" s="31"/>
    </row>
    <row r="26" spans="1:4" x14ac:dyDescent="0.25">
      <c r="A26" s="4"/>
      <c r="B26" s="9" t="s">
        <v>58</v>
      </c>
      <c r="C26" s="8" t="s">
        <v>75</v>
      </c>
      <c r="D26" s="31"/>
    </row>
    <row r="27" spans="1:4" x14ac:dyDescent="0.25">
      <c r="A27" s="4"/>
      <c r="B27" s="9" t="s">
        <v>129</v>
      </c>
      <c r="C27" s="8" t="s">
        <v>72</v>
      </c>
      <c r="D27" s="31"/>
    </row>
    <row r="28" spans="1:4" x14ac:dyDescent="0.25">
      <c r="A28" s="4"/>
      <c r="B28" s="9" t="s">
        <v>128</v>
      </c>
      <c r="C28" s="8" t="s">
        <v>72</v>
      </c>
      <c r="D28" s="31"/>
    </row>
    <row r="29" spans="1:4" x14ac:dyDescent="0.25">
      <c r="A29" s="4"/>
      <c r="B29" s="9" t="s">
        <v>67</v>
      </c>
      <c r="C29" s="8"/>
      <c r="D29" s="31"/>
    </row>
    <row r="30" spans="1:4" x14ac:dyDescent="0.25">
      <c r="A30" s="4" t="s">
        <v>66</v>
      </c>
      <c r="B30" s="10" t="s">
        <v>65</v>
      </c>
      <c r="C30" s="8"/>
      <c r="D30" s="31"/>
    </row>
    <row r="31" spans="1:4" x14ac:dyDescent="0.25">
      <c r="A31" s="4"/>
      <c r="B31" s="9" t="s">
        <v>57</v>
      </c>
      <c r="C31" s="8" t="s">
        <v>72</v>
      </c>
      <c r="D31" s="31"/>
    </row>
    <row r="32" spans="1:4" x14ac:dyDescent="0.25">
      <c r="A32" s="4"/>
      <c r="B32" s="9" t="s">
        <v>58</v>
      </c>
      <c r="C32" s="8" t="s">
        <v>75</v>
      </c>
      <c r="D32" s="31"/>
    </row>
    <row r="33" spans="1:4" x14ac:dyDescent="0.25">
      <c r="A33" s="4"/>
      <c r="B33" s="9" t="s">
        <v>129</v>
      </c>
      <c r="C33" s="8" t="s">
        <v>72</v>
      </c>
      <c r="D33" s="31"/>
    </row>
    <row r="34" spans="1:4" x14ac:dyDescent="0.25">
      <c r="A34" s="4"/>
      <c r="B34" s="9" t="s">
        <v>128</v>
      </c>
      <c r="C34" s="8" t="s">
        <v>72</v>
      </c>
      <c r="D34" s="31"/>
    </row>
    <row r="35" spans="1:4" x14ac:dyDescent="0.25">
      <c r="A35" s="4"/>
      <c r="B35" s="9" t="s">
        <v>67</v>
      </c>
      <c r="C35" s="8"/>
      <c r="D35" s="31"/>
    </row>
    <row r="36" spans="1:4" ht="60" x14ac:dyDescent="0.25">
      <c r="A36" s="4" t="s">
        <v>12</v>
      </c>
      <c r="B36" s="3" t="s">
        <v>11</v>
      </c>
      <c r="C36" s="8" t="s">
        <v>72</v>
      </c>
      <c r="D36" s="31">
        <f>6343.08496</f>
        <v>6343.0849600000001</v>
      </c>
    </row>
    <row r="37" spans="1:4" x14ac:dyDescent="0.25">
      <c r="A37" s="4" t="s">
        <v>29</v>
      </c>
      <c r="B37" s="26" t="s">
        <v>31</v>
      </c>
      <c r="C37" s="27" t="s">
        <v>76</v>
      </c>
      <c r="D37" s="32">
        <f>D36/D38</f>
        <v>3.9897957199116636</v>
      </c>
    </row>
    <row r="38" spans="1:4" x14ac:dyDescent="0.25">
      <c r="A38" s="4" t="s">
        <v>30</v>
      </c>
      <c r="B38" s="26" t="s">
        <v>32</v>
      </c>
      <c r="C38" s="27" t="s">
        <v>77</v>
      </c>
      <c r="D38" s="32">
        <v>1589.827</v>
      </c>
    </row>
    <row r="39" spans="1:4" ht="30" x14ac:dyDescent="0.25">
      <c r="A39" s="4" t="s">
        <v>13</v>
      </c>
      <c r="B39" s="3" t="s">
        <v>14</v>
      </c>
      <c r="C39" s="8" t="s">
        <v>72</v>
      </c>
      <c r="D39" s="31">
        <f>1962.21924</f>
        <v>1962.2192399999999</v>
      </c>
    </row>
    <row r="40" spans="1:4" ht="30" x14ac:dyDescent="0.25">
      <c r="A40" s="4" t="s">
        <v>15</v>
      </c>
      <c r="B40" s="3" t="s">
        <v>78</v>
      </c>
      <c r="C40" s="8" t="s">
        <v>72</v>
      </c>
      <c r="D40" s="31">
        <f>10.07785</f>
        <v>10.07785</v>
      </c>
    </row>
    <row r="41" spans="1:4" ht="30" x14ac:dyDescent="0.25">
      <c r="A41" s="4" t="s">
        <v>16</v>
      </c>
      <c r="B41" s="3" t="s">
        <v>17</v>
      </c>
      <c r="C41" s="8" t="s">
        <v>72</v>
      </c>
      <c r="D41" s="31">
        <f>30412.97356+10072.61578</f>
        <v>40485.589339999999</v>
      </c>
    </row>
    <row r="42" spans="1:4" ht="30" x14ac:dyDescent="0.25">
      <c r="A42" s="4" t="s">
        <v>18</v>
      </c>
      <c r="B42" s="3" t="s">
        <v>130</v>
      </c>
      <c r="C42" s="8" t="s">
        <v>72</v>
      </c>
      <c r="D42" s="31"/>
    </row>
    <row r="43" spans="1:4" x14ac:dyDescent="0.25">
      <c r="A43" s="4" t="s">
        <v>19</v>
      </c>
      <c r="B43" s="3" t="s">
        <v>26</v>
      </c>
      <c r="C43" s="8" t="s">
        <v>72</v>
      </c>
      <c r="D43" s="31">
        <v>0</v>
      </c>
    </row>
    <row r="44" spans="1:4" ht="30" x14ac:dyDescent="0.25">
      <c r="A44" s="4" t="s">
        <v>20</v>
      </c>
      <c r="B44" s="3" t="s">
        <v>27</v>
      </c>
      <c r="C44" s="8" t="s">
        <v>72</v>
      </c>
      <c r="D44" s="31">
        <f>14292.396+49.74852</f>
        <v>14342.14452</v>
      </c>
    </row>
    <row r="45" spans="1:4" ht="30" x14ac:dyDescent="0.25">
      <c r="A45" s="4" t="s">
        <v>21</v>
      </c>
      <c r="B45" s="3" t="s">
        <v>28</v>
      </c>
      <c r="C45" s="8" t="s">
        <v>72</v>
      </c>
      <c r="D45" s="31">
        <f>17330.99542-1962.38264</f>
        <v>15368.612779999999</v>
      </c>
    </row>
    <row r="46" spans="1:4" ht="30" x14ac:dyDescent="0.25">
      <c r="A46" s="4" t="s">
        <v>22</v>
      </c>
      <c r="B46" s="3" t="s">
        <v>33</v>
      </c>
      <c r="C46" s="8" t="s">
        <v>72</v>
      </c>
      <c r="D46" s="31">
        <v>5464.2699400000001</v>
      </c>
    </row>
    <row r="47" spans="1:4" ht="75" x14ac:dyDescent="0.25">
      <c r="A47" s="4" t="s">
        <v>23</v>
      </c>
      <c r="B47" s="3" t="s">
        <v>34</v>
      </c>
      <c r="C47" s="8" t="s">
        <v>72</v>
      </c>
      <c r="D47" s="31">
        <f>0</f>
        <v>0</v>
      </c>
    </row>
    <row r="48" spans="1:4" s="20" customFormat="1" x14ac:dyDescent="0.25">
      <c r="A48" s="4"/>
      <c r="B48" s="5"/>
      <c r="C48" s="8" t="s">
        <v>72</v>
      </c>
      <c r="D48" s="31"/>
    </row>
    <row r="49" spans="1:4" x14ac:dyDescent="0.25">
      <c r="A49" s="4"/>
      <c r="B49" s="5"/>
      <c r="C49" s="8" t="s">
        <v>72</v>
      </c>
      <c r="D49" s="31"/>
    </row>
    <row r="50" spans="1:4" ht="60" x14ac:dyDescent="0.25">
      <c r="A50" s="4" t="s">
        <v>24</v>
      </c>
      <c r="B50" s="3" t="s">
        <v>35</v>
      </c>
      <c r="C50" s="8" t="s">
        <v>72</v>
      </c>
      <c r="D50" s="31">
        <v>1912.6341199999999</v>
      </c>
    </row>
    <row r="51" spans="1:4" ht="45" x14ac:dyDescent="0.25">
      <c r="A51" s="4" t="s">
        <v>25</v>
      </c>
      <c r="B51" s="3" t="s">
        <v>36</v>
      </c>
      <c r="C51" s="8" t="s">
        <v>72</v>
      </c>
      <c r="D51" s="31">
        <f>F9-D11-D36-D40-D41-D39-D42-D43-D44-D45-D46-D47-D50</f>
        <v>14681.130130000014</v>
      </c>
    </row>
    <row r="52" spans="1:4" ht="60" x14ac:dyDescent="0.25">
      <c r="A52" s="18" t="s">
        <v>37</v>
      </c>
      <c r="B52" s="16" t="s">
        <v>101</v>
      </c>
      <c r="C52" s="17" t="s">
        <v>72</v>
      </c>
      <c r="D52" s="30" t="s">
        <v>104</v>
      </c>
    </row>
    <row r="53" spans="1:4" ht="45" x14ac:dyDescent="0.25">
      <c r="A53" s="4" t="s">
        <v>38</v>
      </c>
      <c r="B53" s="3" t="s">
        <v>79</v>
      </c>
      <c r="C53" s="8" t="s">
        <v>72</v>
      </c>
      <c r="D53" s="30">
        <f>D54</f>
        <v>545.4</v>
      </c>
    </row>
    <row r="54" spans="1:4" x14ac:dyDescent="0.25">
      <c r="A54" s="4" t="s">
        <v>70</v>
      </c>
      <c r="B54" s="10" t="s">
        <v>68</v>
      </c>
      <c r="C54" s="8" t="s">
        <v>72</v>
      </c>
      <c r="D54" s="31">
        <f>545.4</f>
        <v>545.4</v>
      </c>
    </row>
    <row r="55" spans="1:4" x14ac:dyDescent="0.25">
      <c r="A55" s="4" t="s">
        <v>71</v>
      </c>
      <c r="B55" s="10" t="s">
        <v>69</v>
      </c>
      <c r="C55" s="8" t="s">
        <v>72</v>
      </c>
      <c r="D55" s="31"/>
    </row>
    <row r="56" spans="1:4" ht="30" x14ac:dyDescent="0.25">
      <c r="A56" s="18" t="s">
        <v>39</v>
      </c>
      <c r="B56" s="16" t="s">
        <v>80</v>
      </c>
      <c r="C56" s="17" t="s">
        <v>72</v>
      </c>
      <c r="D56" s="30">
        <f>D6-D9</f>
        <v>-41962.836710000018</v>
      </c>
    </row>
    <row r="57" spans="1:4" ht="60" x14ac:dyDescent="0.25">
      <c r="A57" s="4" t="s">
        <v>40</v>
      </c>
      <c r="B57" s="3" t="s">
        <v>53</v>
      </c>
      <c r="C57" s="8"/>
      <c r="D57" s="31"/>
    </row>
    <row r="58" spans="1:4" ht="45" x14ac:dyDescent="0.25">
      <c r="A58" s="4" t="s">
        <v>41</v>
      </c>
      <c r="B58" s="3" t="s">
        <v>99</v>
      </c>
      <c r="C58" s="8" t="s">
        <v>98</v>
      </c>
      <c r="D58" s="31">
        <v>39.479999999999997</v>
      </c>
    </row>
    <row r="59" spans="1:4" ht="30" x14ac:dyDescent="0.25">
      <c r="A59" s="4" t="s">
        <v>42</v>
      </c>
      <c r="B59" s="3" t="s">
        <v>100</v>
      </c>
      <c r="C59" s="8" t="s">
        <v>98</v>
      </c>
      <c r="D59" s="31"/>
    </row>
    <row r="60" spans="1:4" ht="45" x14ac:dyDescent="0.25">
      <c r="A60" s="4" t="s">
        <v>43</v>
      </c>
      <c r="B60" s="3" t="s">
        <v>96</v>
      </c>
      <c r="C60" s="8" t="s">
        <v>95</v>
      </c>
      <c r="D60" s="31">
        <v>39.85</v>
      </c>
    </row>
    <row r="61" spans="1:4" ht="45" x14ac:dyDescent="0.25">
      <c r="A61" s="4" t="s">
        <v>44</v>
      </c>
      <c r="B61" s="3" t="s">
        <v>97</v>
      </c>
      <c r="C61" s="8" t="s">
        <v>95</v>
      </c>
      <c r="D61" s="31"/>
    </row>
    <row r="62" spans="1:4" ht="60" x14ac:dyDescent="0.25">
      <c r="A62" s="4" t="s">
        <v>45</v>
      </c>
      <c r="B62" s="3" t="s">
        <v>94</v>
      </c>
      <c r="C62" s="8" t="s">
        <v>95</v>
      </c>
      <c r="D62" s="31">
        <v>34.364100000000001</v>
      </c>
    </row>
    <row r="63" spans="1:4" ht="45" x14ac:dyDescent="0.25">
      <c r="A63" s="4" t="s">
        <v>46</v>
      </c>
      <c r="B63" s="3" t="s">
        <v>92</v>
      </c>
      <c r="C63" s="8" t="s">
        <v>95</v>
      </c>
      <c r="D63" s="31">
        <v>8.0943100000000001</v>
      </c>
    </row>
    <row r="64" spans="1:4" x14ac:dyDescent="0.25">
      <c r="A64" s="4" t="s">
        <v>47</v>
      </c>
      <c r="B64" s="3" t="s">
        <v>90</v>
      </c>
      <c r="C64" s="8" t="s">
        <v>91</v>
      </c>
      <c r="D64" s="31">
        <v>8.0559999999999992</v>
      </c>
    </row>
    <row r="65" spans="1:4" ht="30" x14ac:dyDescent="0.25">
      <c r="A65" s="4" t="s">
        <v>48</v>
      </c>
      <c r="B65" s="3" t="s">
        <v>82</v>
      </c>
      <c r="C65" s="8" t="s">
        <v>81</v>
      </c>
      <c r="D65" s="31">
        <f>63.3</f>
        <v>63.3</v>
      </c>
    </row>
    <row r="66" spans="1:4" ht="45" x14ac:dyDescent="0.25">
      <c r="A66" s="4" t="s">
        <v>49</v>
      </c>
      <c r="B66" s="3" t="s">
        <v>83</v>
      </c>
      <c r="C66" s="8" t="s">
        <v>81</v>
      </c>
      <c r="D66" s="34" t="s">
        <v>141</v>
      </c>
    </row>
    <row r="67" spans="1:4" ht="60" x14ac:dyDescent="0.25">
      <c r="A67" s="4" t="s">
        <v>50</v>
      </c>
      <c r="B67" s="3" t="s">
        <v>85</v>
      </c>
      <c r="C67" s="8" t="s">
        <v>84</v>
      </c>
      <c r="D67" s="31">
        <v>235.6</v>
      </c>
    </row>
    <row r="68" spans="1:4" ht="60" x14ac:dyDescent="0.25">
      <c r="A68" s="4" t="s">
        <v>51</v>
      </c>
      <c r="B68" s="3" t="s">
        <v>86</v>
      </c>
      <c r="C68" s="8" t="s">
        <v>87</v>
      </c>
      <c r="D68" s="31"/>
    </row>
    <row r="69" spans="1:4" ht="60" x14ac:dyDescent="0.25">
      <c r="A69" s="4" t="s">
        <v>52</v>
      </c>
      <c r="B69" s="3" t="s">
        <v>88</v>
      </c>
      <c r="C69" s="8" t="s">
        <v>89</v>
      </c>
      <c r="D69" s="31">
        <v>1.0009999999999999</v>
      </c>
    </row>
    <row r="70" spans="1:4" x14ac:dyDescent="0.25">
      <c r="A70" s="2"/>
      <c r="B70" s="1"/>
      <c r="C70" s="11"/>
    </row>
    <row r="71" spans="1:4" x14ac:dyDescent="0.25">
      <c r="A71" s="2"/>
      <c r="B71" s="1"/>
      <c r="C71" s="11"/>
    </row>
    <row r="72" spans="1:4" x14ac:dyDescent="0.25">
      <c r="A72" s="2"/>
      <c r="B72" s="1"/>
      <c r="C72" s="11"/>
    </row>
    <row r="73" spans="1:4" x14ac:dyDescent="0.25">
      <c r="A73" s="2"/>
      <c r="B73" s="1"/>
      <c r="C73" s="11"/>
    </row>
    <row r="74" spans="1:4" x14ac:dyDescent="0.25">
      <c r="A74" s="2"/>
      <c r="B74" s="1"/>
      <c r="C74" s="11"/>
    </row>
    <row r="75" spans="1:4" x14ac:dyDescent="0.25">
      <c r="A75" s="2"/>
      <c r="B75" s="1"/>
      <c r="C75" s="11"/>
    </row>
    <row r="76" spans="1:4" x14ac:dyDescent="0.25">
      <c r="A76" s="2"/>
      <c r="B76" s="1"/>
      <c r="C76" s="11"/>
    </row>
    <row r="77" spans="1:4" x14ac:dyDescent="0.25">
      <c r="A77" s="2"/>
      <c r="B77" s="1"/>
      <c r="C77" s="11"/>
    </row>
    <row r="78" spans="1:4" x14ac:dyDescent="0.25">
      <c r="A78" s="2"/>
      <c r="B78" s="1"/>
      <c r="C78" s="11"/>
    </row>
    <row r="79" spans="1:4" x14ac:dyDescent="0.25">
      <c r="A79" s="2"/>
      <c r="B79" s="1"/>
      <c r="C79" s="11"/>
    </row>
    <row r="80" spans="1:4" x14ac:dyDescent="0.25">
      <c r="A80" s="2"/>
      <c r="B80" s="1"/>
      <c r="C80" s="11"/>
    </row>
    <row r="81" spans="1:3" x14ac:dyDescent="0.25">
      <c r="A81" s="2"/>
      <c r="B81" s="1"/>
      <c r="C81" s="11"/>
    </row>
    <row r="82" spans="1:3" x14ac:dyDescent="0.25">
      <c r="A82" s="2"/>
      <c r="B82" s="1"/>
      <c r="C82" s="11"/>
    </row>
    <row r="83" spans="1:3" x14ac:dyDescent="0.25">
      <c r="A83" s="2"/>
      <c r="B83" s="1"/>
      <c r="C83" s="11"/>
    </row>
    <row r="84" spans="1:3" x14ac:dyDescent="0.25">
      <c r="A84" s="2"/>
      <c r="B84" s="1"/>
      <c r="C84" s="11"/>
    </row>
    <row r="85" spans="1:3" x14ac:dyDescent="0.25">
      <c r="A85" s="2"/>
      <c r="B85" s="1"/>
      <c r="C85" s="11"/>
    </row>
    <row r="86" spans="1:3" x14ac:dyDescent="0.25">
      <c r="A86" s="2"/>
      <c r="B86" s="1"/>
      <c r="C86" s="11"/>
    </row>
    <row r="87" spans="1:3" x14ac:dyDescent="0.25">
      <c r="A87" s="2"/>
      <c r="B87" s="1"/>
      <c r="C87" s="11"/>
    </row>
    <row r="88" spans="1:3" x14ac:dyDescent="0.25">
      <c r="A88" s="2"/>
      <c r="B88" s="1"/>
      <c r="C88" s="11"/>
    </row>
    <row r="89" spans="1:3" x14ac:dyDescent="0.25">
      <c r="B89" s="1"/>
      <c r="C89" s="11"/>
    </row>
    <row r="90" spans="1:3" x14ac:dyDescent="0.25">
      <c r="B90" s="1"/>
      <c r="C90" s="11"/>
    </row>
    <row r="91" spans="1:3" x14ac:dyDescent="0.25">
      <c r="B91" s="1"/>
      <c r="C91" s="11"/>
    </row>
    <row r="92" spans="1:3" x14ac:dyDescent="0.25">
      <c r="B92" s="1"/>
      <c r="C92" s="11"/>
    </row>
    <row r="93" spans="1:3" x14ac:dyDescent="0.25">
      <c r="B93" s="1"/>
      <c r="C93" s="11"/>
    </row>
    <row r="94" spans="1:3" x14ac:dyDescent="0.25">
      <c r="B94" s="1"/>
      <c r="C94" s="11"/>
    </row>
    <row r="95" spans="1:3" x14ac:dyDescent="0.25">
      <c r="B95" s="1"/>
      <c r="C95" s="11"/>
    </row>
    <row r="96" spans="1:3" x14ac:dyDescent="0.25">
      <c r="B96" s="1"/>
      <c r="C96" s="11"/>
    </row>
    <row r="97" spans="2:3" x14ac:dyDescent="0.25">
      <c r="B97" s="1"/>
      <c r="C97" s="11"/>
    </row>
    <row r="98" spans="2:3" x14ac:dyDescent="0.25">
      <c r="B98" s="1"/>
      <c r="C98" s="11"/>
    </row>
    <row r="99" spans="2:3" x14ac:dyDescent="0.25">
      <c r="B99" s="1"/>
      <c r="C99" s="11"/>
    </row>
    <row r="100" spans="2:3" x14ac:dyDescent="0.25">
      <c r="B100" s="1"/>
      <c r="C100" s="11"/>
    </row>
    <row r="101" spans="2:3" x14ac:dyDescent="0.25">
      <c r="B101" s="1"/>
      <c r="C101" s="11"/>
    </row>
    <row r="102" spans="2:3" x14ac:dyDescent="0.25">
      <c r="B102" s="1"/>
      <c r="C102" s="11"/>
    </row>
    <row r="103" spans="2:3" x14ac:dyDescent="0.25">
      <c r="B103" s="1"/>
      <c r="C103" s="11"/>
    </row>
    <row r="104" spans="2:3" x14ac:dyDescent="0.25">
      <c r="B104" s="1"/>
      <c r="C104" s="11"/>
    </row>
    <row r="105" spans="2:3" x14ac:dyDescent="0.25">
      <c r="B105" s="1"/>
      <c r="C105" s="11"/>
    </row>
    <row r="106" spans="2:3" x14ac:dyDescent="0.25">
      <c r="B106" s="1"/>
      <c r="C106" s="11"/>
    </row>
    <row r="107" spans="2:3" x14ac:dyDescent="0.25">
      <c r="B107" s="1"/>
      <c r="C107" s="11"/>
    </row>
    <row r="108" spans="2:3" x14ac:dyDescent="0.25">
      <c r="B108" s="1"/>
      <c r="C108" s="11"/>
    </row>
    <row r="109" spans="2:3" x14ac:dyDescent="0.25">
      <c r="B109" s="1"/>
      <c r="C109" s="11"/>
    </row>
    <row r="110" spans="2:3" x14ac:dyDescent="0.25">
      <c r="B110" s="1"/>
      <c r="C110" s="11"/>
    </row>
  </sheetData>
  <mergeCells count="2">
    <mergeCell ref="A1:D1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г.Мурманск</vt:lpstr>
      <vt:lpstr>г.п.Кола</vt:lpstr>
      <vt:lpstr>г.п.Молочный</vt:lpstr>
      <vt:lpstr>г.п.Мурмаши</vt:lpstr>
      <vt:lpstr>г.п.Верхнетуломский</vt:lpstr>
      <vt:lpstr>г.п.Кильдинстрой-Шонгуй</vt:lpstr>
      <vt:lpstr>с.п.Ловозеро</vt:lpstr>
      <vt:lpstr>г.п.Ревда</vt:lpstr>
      <vt:lpstr>н.п.Высокий</vt:lpstr>
      <vt:lpstr>г.Гаджиево</vt:lpstr>
      <vt:lpstr>ЗАТО г.Североморск</vt:lpstr>
      <vt:lpstr>г.п.Никель</vt:lpstr>
      <vt:lpstr>г.Полярный</vt:lpstr>
      <vt:lpstr>г.Снежногорск</vt:lpstr>
      <vt:lpstr>с.п.Териберка</vt:lpstr>
      <vt:lpstr>г.Кандалакша</vt:lpstr>
      <vt:lpstr>с.п.Умба</vt:lpstr>
      <vt:lpstr>с.п.Зеленоборский</vt:lpstr>
      <vt:lpstr>с.п.Ёнский</vt:lpstr>
      <vt:lpstr>Росляково</vt:lpstr>
      <vt:lpstr>с.п.Белое море</vt:lpstr>
      <vt:lpstr>Нива-3</vt:lpstr>
      <vt:lpstr>Лопарская</vt:lpstr>
      <vt:lpstr>Ура-Губа</vt:lpstr>
      <vt:lpstr>пр-во тепловой энергии</vt:lpstr>
      <vt:lpstr>передача тепловой энергии</vt:lpstr>
      <vt:lpstr>ИТОГО регулируемые виды деятель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2017-04-10T08:37:26Z</dcterms:modified>
</cp:coreProperties>
</file>